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75" yWindow="65371" windowWidth="15030" windowHeight="4335" tabRatio="965" activeTab="0"/>
  </bookViews>
  <sheets>
    <sheet name="Segment_Morphometry" sheetId="1" r:id="rId1"/>
    <sheet name="CLIMATE" sheetId="2" r:id="rId2"/>
    <sheet name="Consumptive Use" sheetId="3" r:id="rId3"/>
  </sheets>
  <definedNames>
    <definedName name="_xlnm.Print_Area" localSheetId="0">'Segment_Morphometry'!$A$13:$O$65</definedName>
  </definedNames>
  <calcPr fullCalcOnLoad="1"/>
</workbook>
</file>

<file path=xl/comments1.xml><?xml version="1.0" encoding="utf-8"?>
<comments xmlns="http://schemas.openxmlformats.org/spreadsheetml/2006/main">
  <authors>
    <author>egaddis</author>
  </authors>
  <commentList>
    <comment ref="B15" authorId="0">
      <text>
        <r>
          <rPr>
            <sz val="8"/>
            <rFont val="Tahoma"/>
            <family val="0"/>
          </rPr>
          <t>Assumed the following elevations for each of the 5 segments. These were used to calculate segment volume and area using bathymetry data in GIS.</t>
        </r>
      </text>
    </comment>
    <comment ref="A61" authorId="0">
      <text>
        <r>
          <rPr>
            <b/>
            <sz val="8"/>
            <rFont val="Tahoma"/>
            <family val="0"/>
          </rPr>
          <t>egaddis:</t>
        </r>
        <r>
          <rPr>
            <sz val="8"/>
            <rFont val="Tahoma"/>
            <family val="0"/>
          </rPr>
          <t xml:space="preserve">
Error is calculated by dividing the known volume by the modeled volume. Known volume was calculated by first calculating the proportion of the volume at any elevation that is found in each segment; then the total volume at each elevation (column B) is multiplied by the proportion.</t>
        </r>
      </text>
    </comment>
  </commentList>
</comments>
</file>

<file path=xl/sharedStrings.xml><?xml version="1.0" encoding="utf-8"?>
<sst xmlns="http://schemas.openxmlformats.org/spreadsheetml/2006/main" count="263" uniqueCount="144">
  <si>
    <t>Cutler Reservoir</t>
  </si>
  <si>
    <t>Bathtub Segments (5)</t>
  </si>
  <si>
    <t>GIS calcs of reservoir charx</t>
  </si>
  <si>
    <t>2006 Bathymetry data</t>
  </si>
  <si>
    <t>Volume, area and length</t>
  </si>
  <si>
    <t>Used in BATHTUB model</t>
  </si>
  <si>
    <t xml:space="preserve">Assumes water buildup in segments 3, 4, and 5 with max buildup change in elevation </t>
  </si>
  <si>
    <t>of .5 feet. Compared to total volume calculated by PacifiCorps. Difference of 1.19%</t>
  </si>
  <si>
    <t>Precipitation (May - October)</t>
  </si>
  <si>
    <t>Evap</t>
  </si>
  <si>
    <t>Segment 1</t>
  </si>
  <si>
    <t>Segment 2</t>
  </si>
  <si>
    <t>Segment 3</t>
  </si>
  <si>
    <t>Segment 4</t>
  </si>
  <si>
    <t>Segment 5</t>
  </si>
  <si>
    <t>Cutler Reservoir Volumes</t>
  </si>
  <si>
    <t>VOLUME</t>
  </si>
  <si>
    <t>AREA</t>
  </si>
  <si>
    <t>DEPTH</t>
  </si>
  <si>
    <t>GIS Modeled volumes</t>
  </si>
  <si>
    <t>Cubic Feet</t>
  </si>
  <si>
    <t>Acre-feet</t>
  </si>
  <si>
    <t>cubic meters</t>
  </si>
  <si>
    <t>Square feet</t>
  </si>
  <si>
    <t>Square Meters</t>
  </si>
  <si>
    <t>Square kilometers</t>
  </si>
  <si>
    <t>volume/area</t>
  </si>
  <si>
    <t>Segment</t>
  </si>
  <si>
    <t>Elevation assumed</t>
  </si>
  <si>
    <t>Known Volumes from PacifiCorps</t>
  </si>
  <si>
    <t>Volume at 4407</t>
  </si>
  <si>
    <t>Percent Error</t>
  </si>
  <si>
    <t>Percent of reservoir</t>
  </si>
  <si>
    <t>Volume at 4407.25</t>
  </si>
  <si>
    <t>Volume at 4407.5</t>
  </si>
  <si>
    <t>Volume at 4407.37</t>
  </si>
  <si>
    <t>LENGTH</t>
  </si>
  <si>
    <t>WIDTH</t>
  </si>
  <si>
    <t>FEET</t>
  </si>
  <si>
    <t>METERS</t>
  </si>
  <si>
    <t>Winter</t>
  </si>
  <si>
    <t>Spring</t>
  </si>
  <si>
    <t>Summer</t>
  </si>
  <si>
    <t>Fall</t>
  </si>
  <si>
    <t>Annual</t>
  </si>
  <si>
    <t>Feet</t>
  </si>
  <si>
    <t>Precipitation</t>
  </si>
  <si>
    <t>1980-2004</t>
  </si>
  <si>
    <t>JAN</t>
  </si>
  <si>
    <t>FEB</t>
  </si>
  <si>
    <t>MAR</t>
  </si>
  <si>
    <t>APR</t>
  </si>
  <si>
    <t>MAY</t>
  </si>
  <si>
    <t>JUN</t>
  </si>
  <si>
    <t>JUL</t>
  </si>
  <si>
    <t>AUG</t>
  </si>
  <si>
    <t>SEP</t>
  </si>
  <si>
    <t>OCT</t>
  </si>
  <si>
    <t>NOV</t>
  </si>
  <si>
    <t>DEC</t>
  </si>
  <si>
    <t>YEAR</t>
  </si>
  <si>
    <t>1950-1978</t>
  </si>
  <si>
    <t>1969-2005</t>
  </si>
  <si>
    <t>Logan USU Exp Station</t>
  </si>
  <si>
    <t>Logan Exp Farm</t>
  </si>
  <si>
    <t>Pan Evaporation</t>
  </si>
  <si>
    <t>Cutler Dam</t>
  </si>
  <si>
    <t>inches</t>
  </si>
  <si>
    <t>meters</t>
  </si>
  <si>
    <t>200W2Z-.84</t>
  </si>
  <si>
    <t>TOTAL</t>
  </si>
  <si>
    <t>Segment 1+2</t>
  </si>
  <si>
    <t>Segment 3+4</t>
  </si>
  <si>
    <t>Area</t>
  </si>
  <si>
    <t>m2</t>
  </si>
  <si>
    <t>Evaporation Annual</t>
  </si>
  <si>
    <t>Evaporation (May-October)</t>
  </si>
  <si>
    <t>hm3</t>
  </si>
  <si>
    <t>Data source: http://www.wrcc.dri.edu/htmlfiles/westevap.final.html</t>
  </si>
  <si>
    <t>Title:</t>
  </si>
  <si>
    <t>Temporal extent:</t>
  </si>
  <si>
    <t>m3</t>
  </si>
  <si>
    <t>liters</t>
  </si>
  <si>
    <t>Temporal grouping:</t>
  </si>
  <si>
    <t>Parameters:</t>
  </si>
  <si>
    <t>Spatial extent:</t>
  </si>
  <si>
    <t>Spatial grouping:</t>
  </si>
  <si>
    <t>Linked Spreadsheets:</t>
  </si>
  <si>
    <t>Uses in TMDL:</t>
  </si>
  <si>
    <t>Notes:</t>
  </si>
  <si>
    <t>November - April</t>
  </si>
  <si>
    <t>None</t>
  </si>
  <si>
    <t>Preip</t>
  </si>
  <si>
    <t>Evaporation annual (May - October)</t>
  </si>
  <si>
    <t>May - October</t>
  </si>
  <si>
    <t>m</t>
  </si>
  <si>
    <t>Average monthly precipitation</t>
  </si>
  <si>
    <t>Average monthly evaporation</t>
  </si>
  <si>
    <t>January</t>
  </si>
  <si>
    <t>February</t>
  </si>
  <si>
    <t>March</t>
  </si>
  <si>
    <t>April</t>
  </si>
  <si>
    <t>May</t>
  </si>
  <si>
    <t>June</t>
  </si>
  <si>
    <t>July</t>
  </si>
  <si>
    <t>August</t>
  </si>
  <si>
    <t>September</t>
  </si>
  <si>
    <t>October</t>
  </si>
  <si>
    <t>November</t>
  </si>
  <si>
    <t>December</t>
  </si>
  <si>
    <t>Total Annual</t>
  </si>
  <si>
    <t>Total May - October</t>
  </si>
  <si>
    <t>Total November - April</t>
  </si>
  <si>
    <t xml:space="preserve">  Estimated Consumptive Use for the NWS Station at LOGAN RADIO KVNU</t>
  </si>
  <si>
    <t xml:space="preserve">          From a Calibrated SCS Blaney-Criddle Equation using data from USU NF / LOGAN 5SW         10-13-1994</t>
  </si>
  <si>
    <t>Years of Data Available;       NWS: 1961-1990   USU NF / LOGAN 5SW: 1980-1989      Elev. 4500 ft., Lat. 41.75</t>
  </si>
  <si>
    <t>_____________________________________________________________________________________________________________</t>
  </si>
  <si>
    <t>Jan</t>
  </si>
  <si>
    <t>Feb</t>
  </si>
  <si>
    <t>Mar</t>
  </si>
  <si>
    <t>Apr</t>
  </si>
  <si>
    <t>Jun</t>
  </si>
  <si>
    <t>Jul</t>
  </si>
  <si>
    <t>Aug</t>
  </si>
  <si>
    <t>Sep</t>
  </si>
  <si>
    <t>Oct</t>
  </si>
  <si>
    <t>Nov</t>
  </si>
  <si>
    <t>Dec</t>
  </si>
  <si>
    <t>E-LAKE</t>
  </si>
  <si>
    <t>Cal</t>
  </si>
  <si>
    <t>SCS-BC</t>
  </si>
  <si>
    <t>k</t>
  </si>
  <si>
    <t>Std</t>
  </si>
  <si>
    <t>Dev</t>
  </si>
  <si>
    <t>Net</t>
  </si>
  <si>
    <t>Loss</t>
  </si>
  <si>
    <t>in.</t>
  </si>
  <si>
    <t>ET</t>
  </si>
  <si>
    <t>Ref</t>
  </si>
  <si>
    <t>Estimated</t>
  </si>
  <si>
    <t>Etr</t>
  </si>
  <si>
    <t>Et</t>
  </si>
  <si>
    <t>summer</t>
  </si>
  <si>
    <t>winter</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</si>
</sst>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
    <numFmt numFmtId="166" formatCode="0.000"/>
    <numFmt numFmtId="167" formatCode="#,##0.0"/>
    <numFmt numFmtId="168" formatCode="0.0"/>
    <numFmt numFmtId="169" formatCode="mmm\-yyyy"/>
    <numFmt numFmtId="170" formatCode="_(* #,##0.0_);_(* \(#,##0.0\);_(* &quot;-&quot;??_);_(@_)"/>
    <numFmt numFmtId="171" formatCode="_(* #,##0_);_(* \(#,##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00"/>
    <numFmt numFmtId="177" formatCode="0.00000"/>
    <numFmt numFmtId="178" formatCode="_(* #,##0.000_);_(* \(#,##0.000\);_(* &quot;-&quot;??_);_(@_)"/>
    <numFmt numFmtId="179" formatCode="_(* #,##0.0000_);_(* \(#,##0.0000\);_(* &quot;-&quot;??_);_(@_)"/>
    <numFmt numFmtId="180" formatCode="_(* #,##0.00000_);_(* \(#,##0.00000\);_(* &quot;-&quot;??_);_(@_)"/>
    <numFmt numFmtId="181" formatCode="0.000%"/>
    <numFmt numFmtId="182" formatCode="0.0000%"/>
    <numFmt numFmtId="183" formatCode="mmmm\ d\,\ yyyy"/>
    <numFmt numFmtId="184" formatCode="&quot;$&quot;#,##0.00"/>
    <numFmt numFmtId="185" formatCode="_([$$-409]* #,##0.00_);_([$$-409]* \(#,##0.00\);_([$$-409]* &quot;-&quot;??_);_(@_)"/>
    <numFmt numFmtId="186" formatCode="m/d"/>
    <numFmt numFmtId="187" formatCode="_(* #,##0.0_);_(* \(#,##0.0\);_(* &quot;-&quot;?_);_(@_)"/>
    <numFmt numFmtId="188" formatCode="_(* #,##0.0000_);_(* \(#,##0.0000\);_(* &quot;-&quot;????_);_(@_)"/>
    <numFmt numFmtId="189" formatCode="[$-409]mmmm\ d\,\ yyyy;@"/>
    <numFmt numFmtId="190" formatCode="[$-409]dddd\,\ mmmm\ dd\,\ yyyy"/>
    <numFmt numFmtId="191" formatCode="0.000000"/>
    <numFmt numFmtId="192" formatCode="0.00000000"/>
    <numFmt numFmtId="193" formatCode="[$-409]mmm\-yy;@"/>
    <numFmt numFmtId="194" formatCode="_(* #,##0.000000_);_(* \(#,##0.000000\);_(* &quot;-&quot;??_);_(@_)"/>
    <numFmt numFmtId="195" formatCode="m/d/yy\ h:mm\ AM/PM"/>
    <numFmt numFmtId="196" formatCode="m/d/yy\ h:mm"/>
    <numFmt numFmtId="197" formatCode="[$-409]d\-mmm;@"/>
    <numFmt numFmtId="198" formatCode="[$-409]h:mm:ss\ AM/PM"/>
    <numFmt numFmtId="199" formatCode="[$-409]d\-mmm\-yy;@"/>
    <numFmt numFmtId="200" formatCode="[$-409]dd\-mmm\-yy;@"/>
    <numFmt numFmtId="201" formatCode="0.00000000000"/>
    <numFmt numFmtId="202" formatCode="m/d/yy;@"/>
    <numFmt numFmtId="203" formatCode="[$-F400]h:mm:ss\ AM/PM"/>
    <numFmt numFmtId="204" formatCode="[$-409]m/d/yy\ h:mm\ AM/PM;@"/>
    <numFmt numFmtId="205" formatCode="mm/dd/yy;@"/>
    <numFmt numFmtId="206" formatCode="0.0000000000"/>
    <numFmt numFmtId="207" formatCode="0.000000000"/>
    <numFmt numFmtId="208" formatCode="_(* #,##0.000_);_(* \(#,##0.000\);_(* &quot;-&quot;???_);_(@_)"/>
    <numFmt numFmtId="209" formatCode="m/d/yy"/>
    <numFmt numFmtId="210" formatCode="0.00000%"/>
    <numFmt numFmtId="211" formatCode="0.000000%"/>
    <numFmt numFmtId="212" formatCode="0.0000000%"/>
    <numFmt numFmtId="213" formatCode="0.00000000%"/>
    <numFmt numFmtId="214" formatCode="0.000000000%"/>
    <numFmt numFmtId="215" formatCode="0.0000000000%"/>
    <numFmt numFmtId="216" formatCode="0.00000000000%"/>
    <numFmt numFmtId="217" formatCode="0.000000000000%"/>
    <numFmt numFmtId="218" formatCode="_(* #,##0.0000000000_);_(* \(#,##0.0000000000\);_(* &quot;-&quot;??????????_);_(@_)"/>
    <numFmt numFmtId="219" formatCode="0.000000000000000%"/>
  </numFmts>
  <fonts count="28">
    <font>
      <sz val="10"/>
      <name val="Arial"/>
      <family val="0"/>
    </font>
    <font>
      <u val="single"/>
      <sz val="10"/>
      <color indexed="36"/>
      <name val="Arial"/>
      <family val="0"/>
    </font>
    <font>
      <u val="single"/>
      <sz val="10"/>
      <color indexed="12"/>
      <name val="Arial"/>
      <family val="0"/>
    </font>
    <font>
      <b/>
      <sz val="10"/>
      <name val="Arial"/>
      <family val="2"/>
    </font>
    <font>
      <sz val="10"/>
      <color indexed="12"/>
      <name val="Arial"/>
      <family val="2"/>
    </font>
    <font>
      <sz val="8"/>
      <name val="Tahoma"/>
      <family val="0"/>
    </font>
    <font>
      <b/>
      <sz val="8"/>
      <name val="Tahoma"/>
      <family val="0"/>
    </font>
    <font>
      <sz val="8"/>
      <name val="Arial"/>
      <family val="0"/>
    </font>
    <font>
      <sz val="10"/>
      <name val="Arial Unicode MS"/>
      <family val="2"/>
    </font>
    <font>
      <b/>
      <sz val="10"/>
      <name val="Arial Unicode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15" fillId="0" borderId="0" applyNumberForma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52">
    <xf numFmtId="0" fontId="0" fillId="0" borderId="0" xfId="0" applyAlignment="1">
      <alignment/>
    </xf>
    <xf numFmtId="0" fontId="0" fillId="24" borderId="0" xfId="0" applyFill="1" applyAlignment="1">
      <alignment/>
    </xf>
    <xf numFmtId="0" fontId="3" fillId="0" borderId="0" xfId="0" applyFont="1" applyAlignment="1">
      <alignment/>
    </xf>
    <xf numFmtId="0" fontId="0" fillId="0" borderId="0" xfId="0" applyFill="1" applyAlignment="1">
      <alignment/>
    </xf>
    <xf numFmtId="171" fontId="0" fillId="0" borderId="0" xfId="42" applyNumberFormat="1" applyAlignment="1">
      <alignment/>
    </xf>
    <xf numFmtId="43" fontId="0" fillId="0" borderId="0" xfId="42" applyNumberFormat="1" applyAlignment="1">
      <alignment/>
    </xf>
    <xf numFmtId="43" fontId="0" fillId="0" borderId="0" xfId="42" applyAlignment="1">
      <alignment/>
    </xf>
    <xf numFmtId="171" fontId="0" fillId="0" borderId="0" xfId="0" applyNumberFormat="1" applyAlignment="1">
      <alignment/>
    </xf>
    <xf numFmtId="9" fontId="0" fillId="0" borderId="0" xfId="63" applyAlignment="1">
      <alignment/>
    </xf>
    <xf numFmtId="10" fontId="0" fillId="0" borderId="0" xfId="63" applyNumberFormat="1" applyAlignment="1">
      <alignment/>
    </xf>
    <xf numFmtId="9" fontId="0" fillId="0" borderId="0" xfId="0" applyNumberFormat="1" applyAlignment="1">
      <alignment/>
    </xf>
    <xf numFmtId="3" fontId="0" fillId="0" borderId="0" xfId="0" applyNumberFormat="1" applyAlignment="1">
      <alignment/>
    </xf>
    <xf numFmtId="0" fontId="0" fillId="24" borderId="0" xfId="0" applyFill="1" applyBorder="1" applyAlignment="1">
      <alignment/>
    </xf>
    <xf numFmtId="0" fontId="0" fillId="0" borderId="0" xfId="0" applyAlignment="1">
      <alignment wrapText="1"/>
    </xf>
    <xf numFmtId="0" fontId="0" fillId="0" borderId="10" xfId="0" applyBorder="1" applyAlignment="1">
      <alignment/>
    </xf>
    <xf numFmtId="43" fontId="0" fillId="0" borderId="10" xfId="42" applyFont="1" applyBorder="1" applyAlignment="1">
      <alignment/>
    </xf>
    <xf numFmtId="0" fontId="0" fillId="20" borderId="10" xfId="0" applyFill="1" applyBorder="1" applyAlignment="1">
      <alignment/>
    </xf>
    <xf numFmtId="43" fontId="0" fillId="20" borderId="10" xfId="42" applyFill="1" applyBorder="1" applyAlignment="1">
      <alignment/>
    </xf>
    <xf numFmtId="171" fontId="0" fillId="20" borderId="10" xfId="42" applyNumberFormat="1" applyFill="1" applyBorder="1" applyAlignment="1">
      <alignment/>
    </xf>
    <xf numFmtId="43" fontId="0" fillId="20" borderId="10" xfId="42" applyNumberFormat="1" applyFill="1" applyBorder="1" applyAlignment="1">
      <alignment/>
    </xf>
    <xf numFmtId="1" fontId="0" fillId="20" borderId="10" xfId="0" applyNumberFormat="1" applyFill="1" applyBorder="1" applyAlignment="1">
      <alignment/>
    </xf>
    <xf numFmtId="0" fontId="0" fillId="0" borderId="10" xfId="0" applyFill="1" applyBorder="1" applyAlignment="1">
      <alignment/>
    </xf>
    <xf numFmtId="171" fontId="0" fillId="0" borderId="10" xfId="42" applyNumberFormat="1" applyFill="1" applyBorder="1" applyAlignment="1">
      <alignment/>
    </xf>
    <xf numFmtId="43" fontId="0" fillId="0" borderId="10" xfId="42" applyNumberFormat="1" applyFill="1" applyBorder="1" applyAlignment="1">
      <alignment/>
    </xf>
    <xf numFmtId="43" fontId="0" fillId="0" borderId="10" xfId="42" applyFill="1" applyBorder="1" applyAlignment="1">
      <alignment/>
    </xf>
    <xf numFmtId="1" fontId="0" fillId="0" borderId="10" xfId="0" applyNumberFormat="1" applyFill="1" applyBorder="1" applyAlignment="1">
      <alignment/>
    </xf>
    <xf numFmtId="171" fontId="0" fillId="20" borderId="10" xfId="42" applyNumberFormat="1" applyFont="1" applyFill="1" applyBorder="1" applyAlignment="1">
      <alignment/>
    </xf>
    <xf numFmtId="171" fontId="0" fillId="0" borderId="10" xfId="42" applyNumberFormat="1" applyFont="1" applyFill="1" applyBorder="1" applyAlignment="1">
      <alignment/>
    </xf>
    <xf numFmtId="0" fontId="8" fillId="0" borderId="0" xfId="0" applyFont="1" applyAlignment="1">
      <alignment/>
    </xf>
    <xf numFmtId="0" fontId="9" fillId="0" borderId="0" xfId="0" applyFont="1" applyAlignment="1">
      <alignment/>
    </xf>
    <xf numFmtId="43" fontId="0" fillId="24" borderId="0" xfId="0" applyNumberFormat="1" applyFill="1" applyAlignment="1">
      <alignment/>
    </xf>
    <xf numFmtId="171" fontId="0" fillId="0" borderId="0" xfId="42" applyNumberFormat="1" applyFont="1" applyAlignment="1">
      <alignment/>
    </xf>
    <xf numFmtId="43" fontId="0" fillId="0" borderId="10" xfId="42" applyNumberFormat="1" applyFont="1" applyFill="1" applyBorder="1" applyAlignment="1">
      <alignment/>
    </xf>
    <xf numFmtId="43" fontId="0" fillId="20" borderId="10" xfId="42" applyNumberFormat="1" applyFont="1" applyFill="1" applyBorder="1" applyAlignment="1">
      <alignment/>
    </xf>
    <xf numFmtId="180" fontId="0" fillId="0" borderId="0" xfId="0" applyNumberFormat="1" applyAlignment="1">
      <alignment/>
    </xf>
    <xf numFmtId="171" fontId="0" fillId="0" borderId="10" xfId="42" applyNumberFormat="1" applyFont="1" applyBorder="1" applyAlignment="1">
      <alignment/>
    </xf>
    <xf numFmtId="170" fontId="0" fillId="0" borderId="0" xfId="42" applyNumberFormat="1" applyFont="1" applyAlignment="1">
      <alignment/>
    </xf>
    <xf numFmtId="43" fontId="0" fillId="20" borderId="10" xfId="0" applyNumberFormat="1" applyFill="1" applyBorder="1" applyAlignment="1">
      <alignment/>
    </xf>
    <xf numFmtId="43" fontId="0" fillId="0" borderId="10" xfId="0" applyNumberFormat="1" applyBorder="1" applyAlignment="1">
      <alignment/>
    </xf>
    <xf numFmtId="43" fontId="0" fillId="0" borderId="0" xfId="0" applyNumberFormat="1" applyAlignment="1">
      <alignment/>
    </xf>
    <xf numFmtId="171" fontId="4" fillId="0" borderId="10" xfId="42" applyNumberFormat="1" applyFont="1" applyFill="1" applyBorder="1" applyAlignment="1">
      <alignment/>
    </xf>
    <xf numFmtId="0" fontId="0" fillId="20" borderId="11" xfId="0" applyFont="1" applyFill="1" applyBorder="1" applyAlignment="1">
      <alignment/>
    </xf>
    <xf numFmtId="0" fontId="0" fillId="20" borderId="11" xfId="0" applyFill="1" applyBorder="1" applyAlignment="1">
      <alignment/>
    </xf>
    <xf numFmtId="43" fontId="0" fillId="0" borderId="0" xfId="42" applyFont="1" applyAlignment="1">
      <alignment/>
    </xf>
    <xf numFmtId="0" fontId="3" fillId="20" borderId="11" xfId="0" applyFont="1" applyFill="1" applyBorder="1" applyAlignment="1">
      <alignment horizontal="right"/>
    </xf>
    <xf numFmtId="0" fontId="0" fillId="20" borderId="12" xfId="0" applyFill="1" applyBorder="1" applyAlignment="1">
      <alignment/>
    </xf>
    <xf numFmtId="0" fontId="0" fillId="20" borderId="13" xfId="0" applyFill="1" applyBorder="1" applyAlignment="1">
      <alignment/>
    </xf>
    <xf numFmtId="43" fontId="0" fillId="25" borderId="10" xfId="0" applyNumberFormat="1" applyFill="1" applyBorder="1" applyAlignment="1">
      <alignment/>
    </xf>
    <xf numFmtId="178" fontId="0" fillId="0" borderId="10" xfId="42" applyNumberFormat="1" applyFont="1" applyBorder="1" applyAlignment="1">
      <alignment/>
    </xf>
    <xf numFmtId="178" fontId="0" fillId="0" borderId="0" xfId="42" applyNumberFormat="1" applyFont="1" applyAlignment="1">
      <alignment/>
    </xf>
    <xf numFmtId="43" fontId="0" fillId="24" borderId="0" xfId="42" applyFont="1" applyFill="1" applyAlignment="1">
      <alignment/>
    </xf>
    <xf numFmtId="178" fontId="0" fillId="0" borderId="0" xfId="42" applyNumberForma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70"/>
  <sheetViews>
    <sheetView showGridLines="0" tabSelected="1" zoomScalePageLayoutView="0" workbookViewId="0" topLeftCell="A1">
      <selection activeCell="C65" sqref="C65"/>
    </sheetView>
  </sheetViews>
  <sheetFormatPr defaultColWidth="9.140625" defaultRowHeight="12.75"/>
  <cols>
    <col min="1" max="1" width="24.28125" style="0" customWidth="1"/>
    <col min="2" max="2" width="17.8515625" style="0" customWidth="1"/>
    <col min="3" max="3" width="17.140625" style="0" bestFit="1" customWidth="1"/>
    <col min="4" max="4" width="12.7109375" style="0" customWidth="1"/>
    <col min="5" max="5" width="23.421875" style="0" customWidth="1"/>
    <col min="6" max="6" width="9.28125" style="0" bestFit="1" customWidth="1"/>
    <col min="7" max="8" width="15.00390625" style="0" bestFit="1" customWidth="1"/>
    <col min="9" max="9" width="9.7109375" style="0" bestFit="1" customWidth="1"/>
    <col min="10" max="10" width="11.57421875" style="0" customWidth="1"/>
    <col min="11" max="11" width="9.28125" style="0" bestFit="1" customWidth="1"/>
    <col min="12" max="13" width="10.28125" style="0" bestFit="1" customWidth="1"/>
    <col min="14" max="17" width="9.28125" style="0" bestFit="1" customWidth="1"/>
  </cols>
  <sheetData>
    <row r="1" spans="1:6" ht="12.75">
      <c r="A1" s="44" t="s">
        <v>79</v>
      </c>
      <c r="B1" s="41" t="s">
        <v>2</v>
      </c>
      <c r="C1" s="42"/>
      <c r="D1" s="41"/>
      <c r="E1" s="42"/>
      <c r="F1" s="41"/>
    </row>
    <row r="2" spans="1:6" ht="12.75">
      <c r="A2" s="44" t="s">
        <v>80</v>
      </c>
      <c r="B2" s="42" t="s">
        <v>3</v>
      </c>
      <c r="C2" s="42"/>
      <c r="D2" s="42"/>
      <c r="E2" s="42"/>
      <c r="F2" s="42"/>
    </row>
    <row r="3" spans="1:6" ht="12.75">
      <c r="A3" s="44" t="s">
        <v>83</v>
      </c>
      <c r="B3" s="42"/>
      <c r="C3" s="42"/>
      <c r="D3" s="42"/>
      <c r="E3" s="42"/>
      <c r="F3" s="42"/>
    </row>
    <row r="4" spans="1:6" ht="12.75">
      <c r="A4" s="44" t="s">
        <v>84</v>
      </c>
      <c r="B4" s="42" t="s">
        <v>4</v>
      </c>
      <c r="C4" s="42"/>
      <c r="D4" s="42"/>
      <c r="E4" s="42"/>
      <c r="F4" s="42"/>
    </row>
    <row r="5" spans="1:6" ht="12.75">
      <c r="A5" s="44" t="s">
        <v>85</v>
      </c>
      <c r="B5" s="42" t="s">
        <v>0</v>
      </c>
      <c r="C5" s="42"/>
      <c r="D5" s="42"/>
      <c r="E5" s="42"/>
      <c r="F5" s="42"/>
    </row>
    <row r="6" spans="1:6" ht="12.75">
      <c r="A6" s="44" t="s">
        <v>86</v>
      </c>
      <c r="B6" s="42" t="s">
        <v>1</v>
      </c>
      <c r="C6" s="42"/>
      <c r="D6" s="42"/>
      <c r="E6" s="42"/>
      <c r="F6" s="42"/>
    </row>
    <row r="7" spans="1:6" ht="12.75">
      <c r="A7" s="44" t="s">
        <v>87</v>
      </c>
      <c r="B7" s="42" t="s">
        <v>91</v>
      </c>
      <c r="C7" s="42"/>
      <c r="D7" s="42"/>
      <c r="E7" s="42"/>
      <c r="F7" s="42"/>
    </row>
    <row r="8" spans="1:6" ht="12.75">
      <c r="A8" s="44" t="s">
        <v>88</v>
      </c>
      <c r="B8" s="42" t="s">
        <v>5</v>
      </c>
      <c r="C8" s="42"/>
      <c r="D8" s="42"/>
      <c r="E8" s="42"/>
      <c r="F8" s="42"/>
    </row>
    <row r="9" spans="1:8" ht="12.75">
      <c r="A9" s="44" t="s">
        <v>89</v>
      </c>
      <c r="B9" s="45" t="s">
        <v>6</v>
      </c>
      <c r="C9" s="45"/>
      <c r="D9" s="45"/>
      <c r="E9" s="45"/>
      <c r="F9" s="45"/>
      <c r="H9" s="43"/>
    </row>
    <row r="10" spans="2:6" ht="12.75">
      <c r="B10" s="46" t="s">
        <v>7</v>
      </c>
      <c r="C10" s="46"/>
      <c r="D10" s="46"/>
      <c r="E10" s="46"/>
      <c r="F10" s="46"/>
    </row>
    <row r="11" ht="12.75">
      <c r="H11" s="7"/>
    </row>
    <row r="13" ht="12.75">
      <c r="A13" s="2" t="s">
        <v>15</v>
      </c>
    </row>
    <row r="14" spans="2:14" ht="12.75">
      <c r="B14" t="s">
        <v>28</v>
      </c>
      <c r="C14" t="s">
        <v>16</v>
      </c>
      <c r="G14" t="s">
        <v>17</v>
      </c>
      <c r="J14" t="s">
        <v>18</v>
      </c>
      <c r="L14" t="s">
        <v>36</v>
      </c>
      <c r="N14" t="s">
        <v>37</v>
      </c>
    </row>
    <row r="15" spans="1:17" s="13" customFormat="1" ht="38.25">
      <c r="A15" s="13" t="s">
        <v>19</v>
      </c>
      <c r="B15" s="13" t="s">
        <v>45</v>
      </c>
      <c r="C15" s="13" t="s">
        <v>20</v>
      </c>
      <c r="D15" s="13" t="s">
        <v>21</v>
      </c>
      <c r="E15" s="13" t="s">
        <v>22</v>
      </c>
      <c r="G15" s="13" t="s">
        <v>23</v>
      </c>
      <c r="H15" s="13" t="s">
        <v>24</v>
      </c>
      <c r="I15" s="13" t="s">
        <v>25</v>
      </c>
      <c r="J15" s="13" t="s">
        <v>26</v>
      </c>
      <c r="L15" s="13" t="s">
        <v>38</v>
      </c>
      <c r="M15" s="13" t="s">
        <v>39</v>
      </c>
      <c r="N15" s="13" t="s">
        <v>38</v>
      </c>
      <c r="O15" s="13" t="s">
        <v>39</v>
      </c>
      <c r="Q15" s="13" t="s">
        <v>69</v>
      </c>
    </row>
    <row r="16" spans="1:9" ht="12.75" hidden="1">
      <c r="A16" t="s">
        <v>27</v>
      </c>
      <c r="B16" t="s">
        <v>28</v>
      </c>
      <c r="C16">
        <v>1</v>
      </c>
      <c r="D16" s="4">
        <f>C16*(2.295684114*10^-5)</f>
        <v>2.2956841140000003E-05</v>
      </c>
      <c r="E16">
        <f aca="true" t="shared" si="0" ref="E16:E21">C16*0.02831684659</f>
        <v>0.02831684659</v>
      </c>
      <c r="G16">
        <v>1</v>
      </c>
      <c r="H16">
        <f aca="true" t="shared" si="1" ref="H16:H21">0.09290304*G16</f>
        <v>0.09290304</v>
      </c>
      <c r="I16" s="5">
        <f aca="true" t="shared" si="2" ref="I16:I21">G16*0.00000009290304</f>
        <v>9.290304E-08</v>
      </c>
    </row>
    <row r="17" spans="1:10" ht="12.75" hidden="1">
      <c r="A17" t="s">
        <v>10</v>
      </c>
      <c r="B17">
        <v>4407</v>
      </c>
      <c r="C17">
        <v>48600838.96</v>
      </c>
      <c r="D17" s="4">
        <f aca="true" t="shared" si="3" ref="D17:D32">C17*(2.295684114*10^-5)</f>
        <v>1115.721739275443</v>
      </c>
      <c r="E17">
        <f t="shared" si="0"/>
        <v>1376222.500975615</v>
      </c>
      <c r="G17">
        <v>7575705.28</v>
      </c>
      <c r="H17">
        <f t="shared" si="1"/>
        <v>703806.0506560513</v>
      </c>
      <c r="I17" s="5">
        <f t="shared" si="2"/>
        <v>0.7038060506560512</v>
      </c>
      <c r="J17" s="6">
        <f>E17/H17</f>
        <v>1.9554002124488308</v>
      </c>
    </row>
    <row r="18" spans="1:10" ht="12.75" hidden="1">
      <c r="A18" t="s">
        <v>11</v>
      </c>
      <c r="B18">
        <v>4407</v>
      </c>
      <c r="C18">
        <v>88179680.99</v>
      </c>
      <c r="D18" s="4">
        <f t="shared" si="3"/>
        <v>2024.326928263308</v>
      </c>
      <c r="E18">
        <f t="shared" si="0"/>
        <v>2496970.498948969</v>
      </c>
      <c r="G18">
        <v>25380654.64</v>
      </c>
      <c r="H18">
        <f t="shared" si="1"/>
        <v>2357939.973246106</v>
      </c>
      <c r="I18" s="5">
        <f t="shared" si="2"/>
        <v>2.3579399732461055</v>
      </c>
      <c r="J18" s="6">
        <f>E18/H18</f>
        <v>1.0589627078213801</v>
      </c>
    </row>
    <row r="19" spans="1:10" ht="12.75" hidden="1">
      <c r="A19" t="s">
        <v>12</v>
      </c>
      <c r="B19">
        <v>4407</v>
      </c>
      <c r="C19">
        <v>78474105.88</v>
      </c>
      <c r="D19" s="4">
        <f t="shared" si="3"/>
        <v>1801.5175822907001</v>
      </c>
      <c r="E19">
        <f t="shared" si="0"/>
        <v>2222139.2174913767</v>
      </c>
      <c r="F19" s="7"/>
      <c r="G19">
        <v>26572779.66</v>
      </c>
      <c r="H19">
        <f t="shared" si="1"/>
        <v>2468692.0116641666</v>
      </c>
      <c r="I19" s="5">
        <f t="shared" si="2"/>
        <v>2.4686920116641664</v>
      </c>
      <c r="J19" s="6">
        <f>E19/H19</f>
        <v>0.9001281678687061</v>
      </c>
    </row>
    <row r="20" spans="1:10" ht="12.75" hidden="1">
      <c r="A20" t="s">
        <v>13</v>
      </c>
      <c r="B20">
        <v>4407</v>
      </c>
      <c r="C20">
        <v>126338495.6</v>
      </c>
      <c r="D20" s="4">
        <f t="shared" si="3"/>
        <v>2900.3327733557894</v>
      </c>
      <c r="E20">
        <f t="shared" si="0"/>
        <v>3577507.79831659</v>
      </c>
      <c r="F20" s="7"/>
      <c r="G20">
        <v>72703656.95</v>
      </c>
      <c r="H20">
        <f t="shared" si="1"/>
        <v>6754390.749772129</v>
      </c>
      <c r="I20" s="5">
        <f t="shared" si="2"/>
        <v>6.754390749772128</v>
      </c>
      <c r="J20" s="6">
        <f>E20/H20</f>
        <v>0.529656623498912</v>
      </c>
    </row>
    <row r="21" spans="1:10" ht="12.75" hidden="1">
      <c r="A21" t="s">
        <v>14</v>
      </c>
      <c r="B21">
        <v>4407</v>
      </c>
      <c r="C21">
        <v>5966116.52</v>
      </c>
      <c r="D21" s="4">
        <f t="shared" si="3"/>
        <v>136.96318917236965</v>
      </c>
      <c r="E21">
        <f t="shared" si="0"/>
        <v>168941.60623490464</v>
      </c>
      <c r="F21" s="7"/>
      <c r="G21">
        <v>6525986.74</v>
      </c>
      <c r="H21">
        <f t="shared" si="1"/>
        <v>606284.0071456897</v>
      </c>
      <c r="I21" s="5">
        <f t="shared" si="2"/>
        <v>0.6062840071456895</v>
      </c>
      <c r="J21" s="6">
        <f>E21/H21</f>
        <v>0.278650936267082</v>
      </c>
    </row>
    <row r="22" spans="4:6" ht="12.75" hidden="1">
      <c r="D22" s="4">
        <f>SUM(D17:D21)</f>
        <v>7978.86221235761</v>
      </c>
      <c r="E22" s="7"/>
      <c r="F22" s="7"/>
    </row>
    <row r="23" spans="1:4" ht="12.75" hidden="1">
      <c r="A23" t="s">
        <v>29</v>
      </c>
      <c r="D23" s="7"/>
    </row>
    <row r="24" spans="1:4" ht="12.75" hidden="1">
      <c r="A24" t="s">
        <v>30</v>
      </c>
      <c r="B24">
        <v>8181</v>
      </c>
      <c r="C24" s="8"/>
      <c r="D24" s="4"/>
    </row>
    <row r="25" ht="12.75" hidden="1">
      <c r="D25" s="4"/>
    </row>
    <row r="26" spans="1:4" ht="12.75" hidden="1">
      <c r="A26" t="s">
        <v>31</v>
      </c>
      <c r="C26" s="7">
        <f>B24-D22</f>
        <v>202.13778764239032</v>
      </c>
      <c r="D26" s="9">
        <f>C26/B24</f>
        <v>0.024708200420778672</v>
      </c>
    </row>
    <row r="27" ht="12.75" hidden="1">
      <c r="D27" s="4"/>
    </row>
    <row r="28" spans="1:10" ht="12.75" hidden="1">
      <c r="A28" t="s">
        <v>10</v>
      </c>
      <c r="B28">
        <v>4407</v>
      </c>
      <c r="C28">
        <v>48600838.96</v>
      </c>
      <c r="D28" s="4">
        <f t="shared" si="3"/>
        <v>1115.721739275443</v>
      </c>
      <c r="E28">
        <f aca="true" t="shared" si="4" ref="E28:E33">C28*0.02831684659</f>
        <v>1376222.500975615</v>
      </c>
      <c r="G28">
        <v>7575705.28</v>
      </c>
      <c r="H28">
        <f>0.09290304*G28</f>
        <v>703806.0506560513</v>
      </c>
      <c r="I28" s="5">
        <f>G28*0.00000009290304</f>
        <v>0.7038060506560512</v>
      </c>
      <c r="J28" s="6">
        <f>E28/H28</f>
        <v>1.9554002124488308</v>
      </c>
    </row>
    <row r="29" spans="1:10" ht="12.75" hidden="1">
      <c r="A29" t="s">
        <v>11</v>
      </c>
      <c r="B29">
        <v>4407</v>
      </c>
      <c r="C29">
        <v>88179680.99</v>
      </c>
      <c r="D29" s="4">
        <f t="shared" si="3"/>
        <v>2024.326928263308</v>
      </c>
      <c r="E29">
        <f t="shared" si="4"/>
        <v>2496970.498948969</v>
      </c>
      <c r="G29">
        <v>25380654.64</v>
      </c>
      <c r="H29">
        <f>0.09290304*G29</f>
        <v>2357939.973246106</v>
      </c>
      <c r="I29" s="5">
        <f>G29*0.00000009290304</f>
        <v>2.3579399732461055</v>
      </c>
      <c r="J29" s="6">
        <f>E29/H29</f>
        <v>1.0589627078213801</v>
      </c>
    </row>
    <row r="30" spans="1:10" ht="12.75" hidden="1">
      <c r="A30" t="s">
        <v>12</v>
      </c>
      <c r="B30">
        <v>4407.25</v>
      </c>
      <c r="C30">
        <v>85313784.08</v>
      </c>
      <c r="D30" s="4">
        <f t="shared" si="3"/>
        <v>1958.5349881768213</v>
      </c>
      <c r="E30">
        <f t="shared" si="4"/>
        <v>2415817.3358057444</v>
      </c>
      <c r="G30">
        <v>27888137.24</v>
      </c>
      <c r="H30">
        <f>0.09290304*G30</f>
        <v>2590892.7295332095</v>
      </c>
      <c r="I30" s="5">
        <f>G30*0.00000009290304</f>
        <v>2.590892729533209</v>
      </c>
      <c r="J30" s="6">
        <f>E30/H30</f>
        <v>0.932426614297147</v>
      </c>
    </row>
    <row r="31" spans="1:10" ht="12.75" hidden="1">
      <c r="A31" t="s">
        <v>13</v>
      </c>
      <c r="B31">
        <v>4407.25</v>
      </c>
      <c r="C31">
        <v>145652370.71</v>
      </c>
      <c r="D31" s="4">
        <f t="shared" si="3"/>
        <v>3343.7183360538597</v>
      </c>
      <c r="E31">
        <f t="shared" si="4"/>
        <v>4124415.83686488</v>
      </c>
      <c r="G31">
        <v>79876470.75</v>
      </c>
      <c r="H31">
        <f>0.09290304*G31</f>
        <v>7420766.95714608</v>
      </c>
      <c r="I31" s="5">
        <f>G31*0.00000009290304</f>
        <v>7.420766957146079</v>
      </c>
      <c r="J31" s="6">
        <f>E31/H31</f>
        <v>0.5557937421674634</v>
      </c>
    </row>
    <row r="32" spans="1:10" ht="12.75" hidden="1">
      <c r="A32" t="s">
        <v>14</v>
      </c>
      <c r="B32">
        <v>4407.5</v>
      </c>
      <c r="C32">
        <v>10058631.32</v>
      </c>
      <c r="D32" s="4">
        <f t="shared" si="3"/>
        <v>230.91440129906854</v>
      </c>
      <c r="E32">
        <f t="shared" si="4"/>
        <v>284828.7199938092</v>
      </c>
      <c r="G32">
        <v>9225938.94</v>
      </c>
      <c r="H32">
        <f>0.09290304*G32</f>
        <v>857117.7743803776</v>
      </c>
      <c r="I32" s="5">
        <f>G32*0.00000009290304</f>
        <v>0.8571177743803775</v>
      </c>
      <c r="J32" s="6">
        <f>E32/H32</f>
        <v>0.3323098977847191</v>
      </c>
    </row>
    <row r="33" spans="4:6" ht="12.75" hidden="1">
      <c r="D33" s="4">
        <f>SUM(D28:D32)</f>
        <v>8673.216393068502</v>
      </c>
      <c r="E33">
        <f t="shared" si="4"/>
        <v>0</v>
      </c>
      <c r="F33" s="8"/>
    </row>
    <row r="34" ht="12.75" hidden="1"/>
    <row r="35" spans="1:4" ht="12.75" hidden="1">
      <c r="A35" t="s">
        <v>29</v>
      </c>
      <c r="C35" t="s">
        <v>32</v>
      </c>
      <c r="D35" s="7"/>
    </row>
    <row r="36" spans="1:4" ht="12.75" hidden="1">
      <c r="A36" t="s">
        <v>30</v>
      </c>
      <c r="B36">
        <v>8181</v>
      </c>
      <c r="C36" s="8">
        <f>(D17+D18)/$D$22</f>
        <v>0.39354591970211794</v>
      </c>
      <c r="D36" s="4">
        <f>B36*C36</f>
        <v>3219.599169083027</v>
      </c>
    </row>
    <row r="37" spans="1:4" ht="12.75" hidden="1">
      <c r="A37" t="s">
        <v>33</v>
      </c>
      <c r="B37">
        <v>9189</v>
      </c>
      <c r="C37" s="8">
        <f>(D19+D20)/D22</f>
        <v>0.5892883258924179</v>
      </c>
      <c r="D37" s="4">
        <f>B37*C37</f>
        <v>5414.9704266254275</v>
      </c>
    </row>
    <row r="38" spans="1:4" ht="12.75" hidden="1">
      <c r="A38" t="s">
        <v>34</v>
      </c>
      <c r="B38">
        <v>10321</v>
      </c>
      <c r="C38" s="8">
        <f>D21/D22</f>
        <v>0.017165754405464223</v>
      </c>
      <c r="D38" s="4">
        <f>B38*C38</f>
        <v>177.16775121879624</v>
      </c>
    </row>
    <row r="39" spans="2:4" ht="12.75" hidden="1">
      <c r="B39">
        <f>AVERAGE(B36:B38)</f>
        <v>9230.333333333334</v>
      </c>
      <c r="D39" s="4">
        <f>SUM(D36:D38)</f>
        <v>8811.73734692725</v>
      </c>
    </row>
    <row r="40" ht="12.75" hidden="1">
      <c r="C40" s="10">
        <f>SUM(C36:C38)</f>
        <v>1</v>
      </c>
    </row>
    <row r="41" ht="12.75" hidden="1">
      <c r="C41" s="10"/>
    </row>
    <row r="42" spans="1:4" ht="12.75" hidden="1">
      <c r="A42" t="s">
        <v>31</v>
      </c>
      <c r="C42" s="7">
        <f>D39-D33</f>
        <v>138.52095385874782</v>
      </c>
      <c r="D42" s="9">
        <f>C42/D39</f>
        <v>0.015720050247191218</v>
      </c>
    </row>
    <row r="43" ht="12.75" hidden="1">
      <c r="C43" s="10"/>
    </row>
    <row r="44" ht="12.75" hidden="1">
      <c r="C44" s="10"/>
    </row>
    <row r="45" spans="1:17" s="1" customFormat="1" ht="12.75">
      <c r="A45" s="16" t="s">
        <v>10</v>
      </c>
      <c r="B45" s="16">
        <v>4407</v>
      </c>
      <c r="C45" s="26">
        <v>48600838.96</v>
      </c>
      <c r="D45" s="18">
        <f>C45*(2.295684114*10^-5)</f>
        <v>1115.721739275443</v>
      </c>
      <c r="E45" s="26">
        <f aca="true" t="shared" si="5" ref="E45:E50">C45*0.02831684659</f>
        <v>1376222.500975615</v>
      </c>
      <c r="F45" s="16"/>
      <c r="G45" s="16">
        <v>7575705.28</v>
      </c>
      <c r="H45" s="26">
        <f>0.09290304*G45</f>
        <v>703806.0506560513</v>
      </c>
      <c r="I45" s="19">
        <f>G45*0.00000009290304</f>
        <v>0.7038060506560512</v>
      </c>
      <c r="J45" s="17">
        <f>E45/H45</f>
        <v>1.9554002124488308</v>
      </c>
      <c r="K45" s="16"/>
      <c r="L45" s="20">
        <v>17677.57</v>
      </c>
      <c r="M45" s="20">
        <f>0.3048*L45</f>
        <v>5388.123336000001</v>
      </c>
      <c r="N45" s="20">
        <v>430.02</v>
      </c>
      <c r="O45" s="20">
        <f>0.3048*N45</f>
        <v>131.070096</v>
      </c>
      <c r="P45" s="50">
        <f>O45/1000</f>
        <v>0.131070096</v>
      </c>
      <c r="Q45" s="30">
        <f>200*((O45/1000)^2)*(J45^-0.84)</f>
        <v>1.9561370459178835</v>
      </c>
    </row>
    <row r="46" spans="1:17" s="3" customFormat="1" ht="12.75">
      <c r="A46" s="21" t="s">
        <v>11</v>
      </c>
      <c r="B46" s="21">
        <v>4407</v>
      </c>
      <c r="C46" s="27">
        <v>88179680.99</v>
      </c>
      <c r="D46" s="22">
        <f>C46*(2.295684114*10^-5)</f>
        <v>2024.326928263308</v>
      </c>
      <c r="E46" s="27">
        <f t="shared" si="5"/>
        <v>2496970.498948969</v>
      </c>
      <c r="F46" s="21"/>
      <c r="G46" s="21">
        <v>25380654.64</v>
      </c>
      <c r="H46" s="27">
        <f>0.09290304*G46</f>
        <v>2357939.973246106</v>
      </c>
      <c r="I46" s="23">
        <f>G46*0.00000009290304</f>
        <v>2.3579399732461055</v>
      </c>
      <c r="J46" s="24">
        <f>E46/H46</f>
        <v>1.0589627078213801</v>
      </c>
      <c r="K46" s="21"/>
      <c r="L46" s="25">
        <v>16507.74</v>
      </c>
      <c r="M46" s="25">
        <f>0.3048*L46</f>
        <v>5031.559152000001</v>
      </c>
      <c r="N46" s="25">
        <v>1502.12</v>
      </c>
      <c r="O46" s="25">
        <f>0.3048*N46</f>
        <v>457.846176</v>
      </c>
      <c r="P46" s="50">
        <f>O46/1000</f>
        <v>0.457846176</v>
      </c>
      <c r="Q46" s="30">
        <f>200*((O46/1000)^2)*(J46^-0.84)</f>
        <v>39.954842073911436</v>
      </c>
    </row>
    <row r="47" spans="1:17" s="1" customFormat="1" ht="12.75">
      <c r="A47" s="16" t="s">
        <v>12</v>
      </c>
      <c r="B47" s="16">
        <v>4407.25</v>
      </c>
      <c r="C47" s="26">
        <v>85313784.08</v>
      </c>
      <c r="D47" s="18">
        <f>C47*(2.295684114*10^-5)</f>
        <v>1958.5349881768213</v>
      </c>
      <c r="E47" s="26">
        <f t="shared" si="5"/>
        <v>2415817.3358057444</v>
      </c>
      <c r="F47" s="16"/>
      <c r="G47" s="16">
        <v>27888137.24</v>
      </c>
      <c r="H47" s="26">
        <f>0.09290304*G47</f>
        <v>2590892.7295332095</v>
      </c>
      <c r="I47" s="19">
        <f>G47*0.00000009290304</f>
        <v>2.590892729533209</v>
      </c>
      <c r="J47" s="17">
        <f>E47/H47</f>
        <v>0.932426614297147</v>
      </c>
      <c r="K47" s="16"/>
      <c r="L47" s="20">
        <v>15021.21</v>
      </c>
      <c r="M47" s="20">
        <f>0.3048*L47</f>
        <v>4578.464808</v>
      </c>
      <c r="N47" s="20">
        <v>2009.9</v>
      </c>
      <c r="O47" s="20">
        <f>0.3048*N47</f>
        <v>612.61752</v>
      </c>
      <c r="P47" s="50">
        <f>O47/1000</f>
        <v>0.61261752</v>
      </c>
      <c r="Q47" s="30">
        <f>200*((O47/1000)^2)*(J47^-0.84)</f>
        <v>79.60356284556374</v>
      </c>
    </row>
    <row r="48" spans="1:17" s="3" customFormat="1" ht="12.75">
      <c r="A48" s="21" t="s">
        <v>13</v>
      </c>
      <c r="B48" s="21">
        <v>4407.37</v>
      </c>
      <c r="C48" s="40">
        <v>155351828.4</v>
      </c>
      <c r="D48" s="22">
        <f>C48*(2.295684114*10^-5)</f>
        <v>3566.387245387341</v>
      </c>
      <c r="E48" s="27">
        <f t="shared" si="5"/>
        <v>4399073.892278805</v>
      </c>
      <c r="F48" s="21"/>
      <c r="G48" s="21">
        <v>81722222.32</v>
      </c>
      <c r="H48" s="27">
        <f>0.09290304*G48</f>
        <v>7592242.889083853</v>
      </c>
      <c r="I48" s="23">
        <f>G48*0.00000009290304</f>
        <v>7.592242889083852</v>
      </c>
      <c r="J48" s="24">
        <f>E48/H48</f>
        <v>0.5794169070386046</v>
      </c>
      <c r="K48" s="21"/>
      <c r="L48" s="25">
        <v>16120.79</v>
      </c>
      <c r="M48" s="25">
        <f>0.3048*L48</f>
        <v>4913.616792000001</v>
      </c>
      <c r="N48" s="25">
        <v>5944.9</v>
      </c>
      <c r="O48" s="25">
        <f>0.3048*N48</f>
        <v>1812.00552</v>
      </c>
      <c r="P48" s="50">
        <f>O48/1000</f>
        <v>1.81200552</v>
      </c>
      <c r="Q48" s="30">
        <f>200*((O48/1000)^2)*(J48^-0.84)</f>
        <v>1038.571620324728</v>
      </c>
    </row>
    <row r="49" spans="1:17" s="1" customFormat="1" ht="12.75">
      <c r="A49" s="16" t="s">
        <v>14</v>
      </c>
      <c r="B49" s="16">
        <v>4407.5</v>
      </c>
      <c r="C49" s="26">
        <v>10058631.32</v>
      </c>
      <c r="D49" s="18">
        <f>C49*(2.295684114*10^-5)</f>
        <v>230.91440129906854</v>
      </c>
      <c r="E49" s="26">
        <f t="shared" si="5"/>
        <v>284828.7199938092</v>
      </c>
      <c r="F49" s="16"/>
      <c r="G49" s="16">
        <v>9225942.94</v>
      </c>
      <c r="H49" s="26">
        <f>0.09290304*G49</f>
        <v>857118.1459925376</v>
      </c>
      <c r="I49" s="19">
        <f>G49*0.00000009290304</f>
        <v>0.8571181459925376</v>
      </c>
      <c r="J49" s="17">
        <f>E49/H49</f>
        <v>0.33230975370843335</v>
      </c>
      <c r="K49" s="16"/>
      <c r="L49" s="20">
        <v>3963.47</v>
      </c>
      <c r="M49" s="20">
        <f>0.3048*L49</f>
        <v>1208.065656</v>
      </c>
      <c r="N49" s="20">
        <v>2037.36</v>
      </c>
      <c r="O49" s="20">
        <f>0.3048*N49</f>
        <v>620.987328</v>
      </c>
      <c r="P49" s="50">
        <f>O49/1000</f>
        <v>0.620987328</v>
      </c>
      <c r="Q49" s="30">
        <f>200*((O49/1000)^2)*(J49^-0.84)</f>
        <v>194.5804830490777</v>
      </c>
    </row>
    <row r="50" spans="3:5" ht="12.75">
      <c r="C50" s="31"/>
      <c r="D50" s="4">
        <f>SUM(D45:D49)</f>
        <v>8895.885302401983</v>
      </c>
      <c r="E50">
        <f t="shared" si="5"/>
        <v>0</v>
      </c>
    </row>
    <row r="51" spans="1:17" ht="12.75">
      <c r="A51" s="21" t="s">
        <v>71</v>
      </c>
      <c r="B51" s="21"/>
      <c r="C51" s="27">
        <f aca="true" t="shared" si="6" ref="C51:I51">C45+C46</f>
        <v>136780519.95</v>
      </c>
      <c r="D51" s="27">
        <f t="shared" si="6"/>
        <v>3140.048667538751</v>
      </c>
      <c r="E51" s="27">
        <f t="shared" si="6"/>
        <v>3873192.9999245843</v>
      </c>
      <c r="F51" s="27">
        <f t="shared" si="6"/>
        <v>0</v>
      </c>
      <c r="G51" s="27">
        <f t="shared" si="6"/>
        <v>32956359.92</v>
      </c>
      <c r="H51" s="27">
        <f t="shared" si="6"/>
        <v>3061746.0239021573</v>
      </c>
      <c r="I51" s="32">
        <f t="shared" si="6"/>
        <v>3.0617460239021566</v>
      </c>
      <c r="J51" s="24">
        <f>E51/H51</f>
        <v>1.2650275266752034</v>
      </c>
      <c r="K51" s="27">
        <f>K45+K46</f>
        <v>0</v>
      </c>
      <c r="L51" s="27">
        <f>L45+L46</f>
        <v>34185.31</v>
      </c>
      <c r="M51" s="27">
        <f>M45+M46</f>
        <v>10419.682488000002</v>
      </c>
      <c r="N51" s="27">
        <f>AVERAGE(N45:N46)</f>
        <v>966.0699999999999</v>
      </c>
      <c r="O51" s="25">
        <f>0.3048*N51</f>
        <v>294.45813599999997</v>
      </c>
      <c r="P51" s="31">
        <f>P45+P46</f>
        <v>0.588916272</v>
      </c>
      <c r="Q51" s="30">
        <f>200*((O51/1000)^2)*(J51^-0.84)</f>
        <v>14.233546783322122</v>
      </c>
    </row>
    <row r="52" spans="1:17" ht="12.75">
      <c r="A52" s="16" t="s">
        <v>72</v>
      </c>
      <c r="B52" s="16"/>
      <c r="C52" s="26">
        <f aca="true" t="shared" si="7" ref="C52:I52">C47+C48</f>
        <v>240665612.48000002</v>
      </c>
      <c r="D52" s="26">
        <f t="shared" si="7"/>
        <v>5524.9222335641625</v>
      </c>
      <c r="E52" s="26">
        <f t="shared" si="7"/>
        <v>6814891.228084549</v>
      </c>
      <c r="F52" s="26">
        <f t="shared" si="7"/>
        <v>0</v>
      </c>
      <c r="G52" s="26">
        <f t="shared" si="7"/>
        <v>109610359.55999999</v>
      </c>
      <c r="H52" s="26">
        <f t="shared" si="7"/>
        <v>10183135.618617062</v>
      </c>
      <c r="I52" s="33">
        <f t="shared" si="7"/>
        <v>10.183135618617062</v>
      </c>
      <c r="J52" s="17">
        <f>E52/H52</f>
        <v>0.6692330813728333</v>
      </c>
      <c r="K52" s="26">
        <f>K47+K48</f>
        <v>0</v>
      </c>
      <c r="L52" s="26">
        <f>L47+L48</f>
        <v>31142</v>
      </c>
      <c r="M52" s="26">
        <f>M47+M48</f>
        <v>9492.081600000001</v>
      </c>
      <c r="N52" s="26">
        <f>AVERAGE(N47:N48)</f>
        <v>3977.3999999999996</v>
      </c>
      <c r="O52" s="20">
        <f>0.3048*N52</f>
        <v>1212.31152</v>
      </c>
      <c r="P52" s="31">
        <f>P47+P48</f>
        <v>2.42462304</v>
      </c>
      <c r="Q52" s="30">
        <f>200*((O52/1000)^2)*(J52^-0.84)</f>
        <v>411.8825977302605</v>
      </c>
    </row>
    <row r="53" spans="1:17" ht="12.75">
      <c r="A53" s="21" t="s">
        <v>14</v>
      </c>
      <c r="B53" s="21"/>
      <c r="C53" s="27">
        <f aca="true" t="shared" si="8" ref="C53:I53">C49</f>
        <v>10058631.32</v>
      </c>
      <c r="D53" s="27">
        <f t="shared" si="8"/>
        <v>230.91440129906854</v>
      </c>
      <c r="E53" s="27">
        <f t="shared" si="8"/>
        <v>284828.7199938092</v>
      </c>
      <c r="F53" s="27">
        <f t="shared" si="8"/>
        <v>0</v>
      </c>
      <c r="G53" s="27">
        <f t="shared" si="8"/>
        <v>9225942.94</v>
      </c>
      <c r="H53" s="27">
        <f t="shared" si="8"/>
        <v>857118.1459925376</v>
      </c>
      <c r="I53" s="32">
        <f t="shared" si="8"/>
        <v>0.8571181459925376</v>
      </c>
      <c r="J53" s="24">
        <f>E53/H53</f>
        <v>0.33230975370843335</v>
      </c>
      <c r="K53" s="27">
        <f>K49</f>
        <v>0</v>
      </c>
      <c r="L53" s="27">
        <f>L49</f>
        <v>3963.47</v>
      </c>
      <c r="M53" s="27">
        <f>M49</f>
        <v>1208.065656</v>
      </c>
      <c r="N53" s="27">
        <f>N49</f>
        <v>2037.36</v>
      </c>
      <c r="O53" s="25">
        <f>0.3048*N53</f>
        <v>620.987328</v>
      </c>
      <c r="P53" s="31">
        <f>P49</f>
        <v>0.620987328</v>
      </c>
      <c r="Q53" s="30">
        <f>200*((O53/1000)^2)*(J53^-0.84)</f>
        <v>194.5804830490777</v>
      </c>
    </row>
    <row r="55" spans="1:8" ht="12.75">
      <c r="A55" t="s">
        <v>30</v>
      </c>
      <c r="B55">
        <v>8181</v>
      </c>
      <c r="C55" s="8">
        <f>(D17+D18)/$D$22</f>
        <v>0.39354591970211794</v>
      </c>
      <c r="D55" s="4">
        <f>B55*C55</f>
        <v>3219.599169083027</v>
      </c>
      <c r="H55">
        <f>SUM(H45:H49)</f>
        <v>14101999.788511759</v>
      </c>
    </row>
    <row r="56" spans="1:8" ht="12.75">
      <c r="A56" t="s">
        <v>33</v>
      </c>
      <c r="B56">
        <v>9189</v>
      </c>
      <c r="C56" s="8">
        <f>D19/$D$22</f>
        <v>0.22578627557955838</v>
      </c>
      <c r="D56" s="4">
        <f>B56*C56</f>
        <v>2074.750086300562</v>
      </c>
      <c r="H56">
        <f>72667*1000000</f>
        <v>72667000000</v>
      </c>
    </row>
    <row r="57" spans="1:8" ht="12.75">
      <c r="A57" t="s">
        <v>35</v>
      </c>
      <c r="B57">
        <v>9716</v>
      </c>
      <c r="C57" s="8">
        <f>D20/$D$22</f>
        <v>0.36350205031285954</v>
      </c>
      <c r="D57" s="4">
        <f>B57*C57</f>
        <v>3531.785920839743</v>
      </c>
      <c r="H57">
        <f>H56/H55</f>
        <v>5152.957104651102</v>
      </c>
    </row>
    <row r="58" spans="1:8" ht="12.75">
      <c r="A58" t="s">
        <v>34</v>
      </c>
      <c r="B58">
        <v>10321</v>
      </c>
      <c r="C58" s="8">
        <f>D21/$D$22</f>
        <v>0.017165754405464223</v>
      </c>
      <c r="D58" s="4">
        <f>B58*C58</f>
        <v>177.16775121879624</v>
      </c>
      <c r="H58">
        <f>H57/365</f>
        <v>14.117690697674252</v>
      </c>
    </row>
    <row r="59" spans="4:8" ht="12.75">
      <c r="D59" s="7">
        <f>SUM(D55:D58)</f>
        <v>9003.302927442128</v>
      </c>
      <c r="H59" s="31">
        <f>H56*4311/1000000</f>
        <v>313267437</v>
      </c>
    </row>
    <row r="61" spans="1:4" ht="12.75">
      <c r="A61" t="s">
        <v>31</v>
      </c>
      <c r="C61" s="7">
        <f>D59-D50</f>
        <v>107.41762504014514</v>
      </c>
      <c r="D61" s="9">
        <f>C61/D59</f>
        <v>0.011930913122198242</v>
      </c>
    </row>
    <row r="64" spans="1:5" ht="12.75">
      <c r="A64" s="13"/>
      <c r="E64" s="34"/>
    </row>
    <row r="66" spans="3:4" ht="12.75">
      <c r="C66" s="7"/>
      <c r="D66" s="7"/>
    </row>
    <row r="67" ht="12.75">
      <c r="D67" s="11"/>
    </row>
    <row r="68" ht="12.75">
      <c r="D68" s="39"/>
    </row>
    <row r="69" ht="12.75">
      <c r="Q69" s="30" t="e">
        <f>200*((O69/1000)^2)*(J69^-0.84)</f>
        <v>#DIV/0!</v>
      </c>
    </row>
    <row r="70" ht="12.75">
      <c r="Q70" s="30" t="e">
        <f>200*((O70/1000)^2)*(J70^-0.84)</f>
        <v>#DIV/0!</v>
      </c>
    </row>
  </sheetData>
  <sheetProtection/>
  <printOptions/>
  <pageMargins left="0.75" right="0.75" top="1" bottom="1" header="0.5" footer="0.5"/>
  <pageSetup fitToHeight="1" fitToWidth="1" horizontalDpi="600" verticalDpi="600" orientation="landscape" scale="63" r:id="rId3"/>
  <legacyDrawing r:id="rId2"/>
</worksheet>
</file>

<file path=xl/worksheets/sheet2.xml><?xml version="1.0" encoding="utf-8"?>
<worksheet xmlns="http://schemas.openxmlformats.org/spreadsheetml/2006/main" xmlns:r="http://schemas.openxmlformats.org/officeDocument/2006/relationships">
  <dimension ref="A1:AB56"/>
  <sheetViews>
    <sheetView showGridLines="0" zoomScalePageLayoutView="0" workbookViewId="0" topLeftCell="A1">
      <selection activeCell="B15" sqref="B15"/>
    </sheetView>
  </sheetViews>
  <sheetFormatPr defaultColWidth="9.140625" defaultRowHeight="12.75"/>
  <cols>
    <col min="1" max="1" width="21.00390625" style="0" bestFit="1" customWidth="1"/>
    <col min="2" max="2" width="12.8515625" style="0" bestFit="1" customWidth="1"/>
    <col min="3" max="3" width="17.00390625" style="0" bestFit="1" customWidth="1"/>
    <col min="4" max="5" width="17.00390625" style="0" customWidth="1"/>
    <col min="6" max="6" width="23.421875" style="0" bestFit="1" customWidth="1"/>
    <col min="7" max="7" width="11.7109375" style="0" customWidth="1"/>
  </cols>
  <sheetData>
    <row r="1" spans="1:28" ht="12.75">
      <c r="A1" s="2" t="s">
        <v>46</v>
      </c>
      <c r="K1" t="s">
        <v>48</v>
      </c>
      <c r="L1" t="s">
        <v>49</v>
      </c>
      <c r="M1" t="s">
        <v>50</v>
      </c>
      <c r="N1" t="s">
        <v>51</v>
      </c>
      <c r="O1" t="s">
        <v>52</v>
      </c>
      <c r="P1" t="s">
        <v>53</v>
      </c>
      <c r="Q1" t="s">
        <v>54</v>
      </c>
      <c r="R1" t="s">
        <v>55</v>
      </c>
      <c r="S1" t="s">
        <v>56</v>
      </c>
      <c r="T1" t="s">
        <v>57</v>
      </c>
      <c r="U1" t="s">
        <v>58</v>
      </c>
      <c r="V1" t="s">
        <v>59</v>
      </c>
      <c r="W1" t="s">
        <v>60</v>
      </c>
      <c r="Y1" s="14" t="s">
        <v>40</v>
      </c>
      <c r="Z1" s="14" t="s">
        <v>41</v>
      </c>
      <c r="AA1" s="14" t="s">
        <v>42</v>
      </c>
      <c r="AB1" s="14" t="s">
        <v>43</v>
      </c>
    </row>
    <row r="2" spans="1:28" ht="15">
      <c r="A2" s="28" t="s">
        <v>66</v>
      </c>
      <c r="B2" t="s">
        <v>47</v>
      </c>
      <c r="J2" t="s">
        <v>67</v>
      </c>
      <c r="K2">
        <v>1.47</v>
      </c>
      <c r="L2">
        <v>1.54</v>
      </c>
      <c r="M2">
        <v>1.61</v>
      </c>
      <c r="N2">
        <v>1.53</v>
      </c>
      <c r="O2">
        <v>2.45</v>
      </c>
      <c r="P2">
        <v>1.16</v>
      </c>
      <c r="Q2">
        <v>0.91</v>
      </c>
      <c r="R2">
        <v>0.78</v>
      </c>
      <c r="S2">
        <v>1.44</v>
      </c>
      <c r="T2">
        <v>1.8</v>
      </c>
      <c r="U2">
        <v>1.53</v>
      </c>
      <c r="V2">
        <v>1.46</v>
      </c>
      <c r="W2">
        <v>17.68</v>
      </c>
      <c r="Y2" s="14"/>
      <c r="Z2" s="14"/>
      <c r="AA2" s="14"/>
      <c r="AB2" s="14"/>
    </row>
    <row r="3" spans="10:28" ht="12.75">
      <c r="J3" t="s">
        <v>95</v>
      </c>
      <c r="K3" s="49">
        <f>0.0254*K2</f>
        <v>0.037337999999999996</v>
      </c>
      <c r="L3" s="49">
        <f aca="true" t="shared" si="0" ref="L3:V3">0.0254*L2</f>
        <v>0.039116</v>
      </c>
      <c r="M3" s="49">
        <f t="shared" si="0"/>
        <v>0.040894</v>
      </c>
      <c r="N3" s="49">
        <f t="shared" si="0"/>
        <v>0.038862</v>
      </c>
      <c r="O3" s="49">
        <f t="shared" si="0"/>
        <v>0.06223</v>
      </c>
      <c r="P3" s="49">
        <f t="shared" si="0"/>
        <v>0.029463999999999997</v>
      </c>
      <c r="Q3" s="49">
        <f t="shared" si="0"/>
        <v>0.023114</v>
      </c>
      <c r="R3" s="49">
        <f t="shared" si="0"/>
        <v>0.019812</v>
      </c>
      <c r="S3" s="49">
        <f t="shared" si="0"/>
        <v>0.036576</v>
      </c>
      <c r="T3" s="49">
        <f t="shared" si="0"/>
        <v>0.04572</v>
      </c>
      <c r="U3" s="49">
        <f t="shared" si="0"/>
        <v>0.038862</v>
      </c>
      <c r="V3" s="49">
        <f t="shared" si="0"/>
        <v>0.037084</v>
      </c>
      <c r="W3" s="49">
        <f>0.0254*W2</f>
        <v>0.44907199999999997</v>
      </c>
      <c r="Y3" s="14"/>
      <c r="Z3" s="14"/>
      <c r="AA3" s="14"/>
      <c r="AB3" s="14"/>
    </row>
    <row r="4" spans="1:28" ht="12.75">
      <c r="A4" s="2" t="s">
        <v>94</v>
      </c>
      <c r="B4">
        <f>SUM(O2:T2)</f>
        <v>8.540000000000001</v>
      </c>
      <c r="C4" t="s">
        <v>67</v>
      </c>
      <c r="F4" s="2" t="s">
        <v>90</v>
      </c>
      <c r="G4" s="36">
        <f>SUM(K2:N2,U2:V2)</f>
        <v>9.14</v>
      </c>
      <c r="H4" t="s">
        <v>67</v>
      </c>
      <c r="J4" t="s">
        <v>81</v>
      </c>
      <c r="K4">
        <f>K3*SUM($B$25:$B$29)</f>
        <v>526540.468103452</v>
      </c>
      <c r="L4">
        <f aca="true" t="shared" si="1" ref="L4:W4">L3*SUM($B$25:$B$29)</f>
        <v>551613.8237274259</v>
      </c>
      <c r="M4">
        <f t="shared" si="1"/>
        <v>576687.1793513999</v>
      </c>
      <c r="N4">
        <f t="shared" si="1"/>
        <v>548031.9157811439</v>
      </c>
      <c r="O4">
        <f t="shared" si="1"/>
        <v>877567.4468390867</v>
      </c>
      <c r="P4">
        <f t="shared" si="1"/>
        <v>415501.3217687104</v>
      </c>
      <c r="Q4">
        <f t="shared" si="1"/>
        <v>325953.62311166077</v>
      </c>
      <c r="R4">
        <f t="shared" si="1"/>
        <v>279388.81980999495</v>
      </c>
      <c r="S4">
        <f t="shared" si="1"/>
        <v>515794.74426460604</v>
      </c>
      <c r="T4">
        <f t="shared" si="1"/>
        <v>644743.4303307575</v>
      </c>
      <c r="U4">
        <f t="shared" si="1"/>
        <v>548031.9157811439</v>
      </c>
      <c r="V4">
        <f t="shared" si="1"/>
        <v>522958.56015717005</v>
      </c>
      <c r="W4">
        <f t="shared" si="1"/>
        <v>6332813.249026552</v>
      </c>
      <c r="Y4" s="14">
        <f>SUM(V4,K4,L4)</f>
        <v>1601112.851988048</v>
      </c>
      <c r="Z4" s="14">
        <f>SUM(M4:O4)</f>
        <v>2002286.5419716304</v>
      </c>
      <c r="AA4" s="14">
        <f>SUM(P4:R4)</f>
        <v>1020843.7646903661</v>
      </c>
      <c r="AB4" s="14">
        <f>SUM(S4:U4)</f>
        <v>1708570.0903765075</v>
      </c>
    </row>
    <row r="5" spans="1:8" ht="15">
      <c r="A5" s="28"/>
      <c r="B5">
        <f>0.0254*B4</f>
        <v>0.21691600000000003</v>
      </c>
      <c r="C5" t="s">
        <v>68</v>
      </c>
      <c r="G5" s="36">
        <f>0.0254*G4</f>
        <v>0.232156</v>
      </c>
      <c r="H5" t="s">
        <v>68</v>
      </c>
    </row>
    <row r="6" ht="12.75">
      <c r="B6">
        <f>B5*2</f>
        <v>0.43383200000000005</v>
      </c>
    </row>
    <row r="7" ht="15">
      <c r="A7" s="28"/>
    </row>
    <row r="9" ht="15">
      <c r="A9" s="28"/>
    </row>
    <row r="10" ht="15">
      <c r="A10" s="29" t="s">
        <v>65</v>
      </c>
    </row>
    <row r="11" spans="11:28" ht="12.75">
      <c r="K11" t="s">
        <v>48</v>
      </c>
      <c r="L11" t="s">
        <v>49</v>
      </c>
      <c r="M11" t="s">
        <v>50</v>
      </c>
      <c r="N11" t="s">
        <v>51</v>
      </c>
      <c r="O11" t="s">
        <v>52</v>
      </c>
      <c r="P11" t="s">
        <v>53</v>
      </c>
      <c r="Q11" t="s">
        <v>54</v>
      </c>
      <c r="R11" t="s">
        <v>55</v>
      </c>
      <c r="S11" t="s">
        <v>56</v>
      </c>
      <c r="T11" t="s">
        <v>57</v>
      </c>
      <c r="U11" t="s">
        <v>58</v>
      </c>
      <c r="V11" t="s">
        <v>59</v>
      </c>
      <c r="W11" t="s">
        <v>60</v>
      </c>
      <c r="Y11" s="14" t="s">
        <v>40</v>
      </c>
      <c r="Z11" s="14" t="s">
        <v>41</v>
      </c>
      <c r="AA11" s="14" t="s">
        <v>42</v>
      </c>
      <c r="AB11" s="14" t="s">
        <v>43</v>
      </c>
    </row>
    <row r="12" spans="1:28" ht="12.75">
      <c r="A12" t="s">
        <v>63</v>
      </c>
      <c r="B12" t="s">
        <v>61</v>
      </c>
      <c r="K12">
        <v>0</v>
      </c>
      <c r="L12">
        <v>0</v>
      </c>
      <c r="M12">
        <v>0</v>
      </c>
      <c r="N12">
        <v>4.01</v>
      </c>
      <c r="O12">
        <v>5.98</v>
      </c>
      <c r="P12">
        <v>7.05</v>
      </c>
      <c r="Q12">
        <v>8.37</v>
      </c>
      <c r="R12">
        <v>7.5</v>
      </c>
      <c r="S12">
        <v>5.02</v>
      </c>
      <c r="T12">
        <v>2.92</v>
      </c>
      <c r="U12">
        <v>0</v>
      </c>
      <c r="V12">
        <v>0</v>
      </c>
      <c r="W12">
        <v>40.85</v>
      </c>
      <c r="Y12" s="14"/>
      <c r="Z12" s="14"/>
      <c r="AA12" s="14"/>
      <c r="AB12" s="14"/>
    </row>
    <row r="13" spans="1:28" ht="15">
      <c r="A13" s="28" t="s">
        <v>64</v>
      </c>
      <c r="B13" t="s">
        <v>62</v>
      </c>
      <c r="J13" t="s">
        <v>67</v>
      </c>
      <c r="K13">
        <v>0</v>
      </c>
      <c r="L13">
        <v>0</v>
      </c>
      <c r="M13">
        <v>3.3</v>
      </c>
      <c r="N13">
        <v>4.57</v>
      </c>
      <c r="O13">
        <v>6.57</v>
      </c>
      <c r="P13">
        <v>8.48</v>
      </c>
      <c r="Q13">
        <v>10.05</v>
      </c>
      <c r="R13">
        <v>8.93</v>
      </c>
      <c r="S13">
        <v>5.88</v>
      </c>
      <c r="T13">
        <v>3.51</v>
      </c>
      <c r="U13">
        <v>0</v>
      </c>
      <c r="V13">
        <v>0</v>
      </c>
      <c r="W13">
        <v>51.29</v>
      </c>
      <c r="Y13" s="14"/>
      <c r="Z13" s="14"/>
      <c r="AA13" s="14"/>
      <c r="AB13" s="14"/>
    </row>
    <row r="14" spans="10:28" ht="12.75">
      <c r="J14" t="s">
        <v>95</v>
      </c>
      <c r="K14" s="49">
        <f>0.0254*K13</f>
        <v>0</v>
      </c>
      <c r="L14" s="49">
        <f aca="true" t="shared" si="2" ref="L14:W14">0.0254*L13</f>
        <v>0</v>
      </c>
      <c r="M14" s="49">
        <f t="shared" si="2"/>
        <v>0.08381999999999999</v>
      </c>
      <c r="N14" s="49">
        <f t="shared" si="2"/>
        <v>0.116078</v>
      </c>
      <c r="O14" s="49">
        <f t="shared" si="2"/>
        <v>0.166878</v>
      </c>
      <c r="P14" s="49">
        <f>0.0254*P13</f>
        <v>0.215392</v>
      </c>
      <c r="Q14" s="49">
        <f t="shared" si="2"/>
        <v>0.25527</v>
      </c>
      <c r="R14" s="49">
        <f t="shared" si="2"/>
        <v>0.226822</v>
      </c>
      <c r="S14" s="49">
        <f t="shared" si="2"/>
        <v>0.14935199999999998</v>
      </c>
      <c r="T14" s="49">
        <f t="shared" si="2"/>
        <v>0.089154</v>
      </c>
      <c r="U14" s="49">
        <f t="shared" si="2"/>
        <v>0</v>
      </c>
      <c r="V14" s="49">
        <f t="shared" si="2"/>
        <v>0</v>
      </c>
      <c r="W14" s="49">
        <f t="shared" si="2"/>
        <v>1.3027659999999999</v>
      </c>
      <c r="Y14" s="14"/>
      <c r="Z14" s="14"/>
      <c r="AA14" s="14"/>
      <c r="AB14" s="14"/>
    </row>
    <row r="15" spans="1:28" ht="12.75">
      <c r="A15" s="2" t="s">
        <v>94</v>
      </c>
      <c r="B15" s="36">
        <f>SUM(O13:T13)</f>
        <v>43.42</v>
      </c>
      <c r="C15" t="s">
        <v>67</v>
      </c>
      <c r="F15" s="2" t="s">
        <v>90</v>
      </c>
      <c r="G15" s="36">
        <f>SUM(K13:N13,U13:V13)</f>
        <v>7.87</v>
      </c>
      <c r="H15" t="s">
        <v>67</v>
      </c>
      <c r="J15" t="s">
        <v>81</v>
      </c>
      <c r="K15">
        <f>K14*SUM($B$25:$B$29)</f>
        <v>0</v>
      </c>
      <c r="L15">
        <f aca="true" t="shared" si="3" ref="L15:W15">L14*SUM($B$25:$B$29)</f>
        <v>0</v>
      </c>
      <c r="M15">
        <f t="shared" si="3"/>
        <v>1182029.6222730556</v>
      </c>
      <c r="N15">
        <f t="shared" si="3"/>
        <v>1636931.931450868</v>
      </c>
      <c r="O15">
        <f t="shared" si="3"/>
        <v>2353313.5207072655</v>
      </c>
      <c r="P15">
        <f t="shared" si="3"/>
        <v>3037457.938447125</v>
      </c>
      <c r="Q15">
        <f t="shared" si="3"/>
        <v>3599817.4860133966</v>
      </c>
      <c r="R15">
        <f t="shared" si="3"/>
        <v>3198643.796029814</v>
      </c>
      <c r="S15">
        <f t="shared" si="3"/>
        <v>2106161.872413808</v>
      </c>
      <c r="T15">
        <f t="shared" si="3"/>
        <v>1257249.6891449774</v>
      </c>
      <c r="U15">
        <f t="shared" si="3"/>
        <v>0</v>
      </c>
      <c r="V15">
        <f t="shared" si="3"/>
        <v>0</v>
      </c>
      <c r="W15">
        <f t="shared" si="3"/>
        <v>18371605.856480308</v>
      </c>
      <c r="Y15" s="14">
        <f>SUM(V15,K15,L15)</f>
        <v>0</v>
      </c>
      <c r="Z15" s="14">
        <f>SUM(M15:O15)</f>
        <v>5172275.074431189</v>
      </c>
      <c r="AA15" s="14">
        <f>SUM(P15:R15)</f>
        <v>9835919.220490335</v>
      </c>
      <c r="AB15" s="14">
        <f>SUM(S15:U15)</f>
        <v>3363411.5615587854</v>
      </c>
    </row>
    <row r="16" spans="2:8" ht="12.75">
      <c r="B16" s="36">
        <f>0.0254*B15</f>
        <v>1.102868</v>
      </c>
      <c r="C16" t="s">
        <v>68</v>
      </c>
      <c r="G16" s="36">
        <f>0.0254*G15</f>
        <v>0.199898</v>
      </c>
      <c r="H16" t="s">
        <v>68</v>
      </c>
    </row>
    <row r="17" spans="2:7" ht="12.75">
      <c r="B17" s="36"/>
      <c r="G17" s="36"/>
    </row>
    <row r="18" spans="1:7" ht="12.75">
      <c r="A18" t="s">
        <v>70</v>
      </c>
      <c r="B18" s="36">
        <f>SUM(K13:V13)</f>
        <v>51.29</v>
      </c>
      <c r="C18" t="s">
        <v>67</v>
      </c>
      <c r="G18" s="36"/>
    </row>
    <row r="19" spans="2:7" ht="12.75">
      <c r="B19" s="36">
        <f>0.0254*B18</f>
        <v>1.3027659999999999</v>
      </c>
      <c r="C19" t="s">
        <v>68</v>
      </c>
      <c r="G19" s="36"/>
    </row>
    <row r="22" spans="6:9" ht="12.75">
      <c r="F22" t="s">
        <v>94</v>
      </c>
      <c r="I22" t="s">
        <v>90</v>
      </c>
    </row>
    <row r="23" spans="2:11" ht="12.75">
      <c r="B23" t="s">
        <v>73</v>
      </c>
      <c r="C23" t="s">
        <v>75</v>
      </c>
      <c r="F23" t="s">
        <v>76</v>
      </c>
      <c r="G23" t="s">
        <v>93</v>
      </c>
      <c r="H23" t="s">
        <v>8</v>
      </c>
      <c r="I23" t="s">
        <v>9</v>
      </c>
      <c r="J23" t="s">
        <v>9</v>
      </c>
      <c r="K23" t="s">
        <v>92</v>
      </c>
    </row>
    <row r="24" spans="2:9" ht="12.75">
      <c r="B24" t="s">
        <v>74</v>
      </c>
      <c r="C24" t="s">
        <v>77</v>
      </c>
      <c r="D24" t="s">
        <v>81</v>
      </c>
      <c r="E24" t="s">
        <v>82</v>
      </c>
      <c r="F24" t="s">
        <v>77</v>
      </c>
      <c r="I24" t="s">
        <v>77</v>
      </c>
    </row>
    <row r="25" spans="1:11" ht="12.75">
      <c r="A25" s="16" t="s">
        <v>10</v>
      </c>
      <c r="B25" s="26">
        <f>Segment_Morphometry!H45</f>
        <v>703806.0506560513</v>
      </c>
      <c r="C25" s="37">
        <f>$B$19*B25/1000000</f>
        <v>0.9168945933889812</v>
      </c>
      <c r="D25" s="37">
        <f>B25*$B$19</f>
        <v>916894.5933889812</v>
      </c>
      <c r="E25" s="37">
        <f>D25*1000</f>
        <v>916894593.3889812</v>
      </c>
      <c r="F25" s="37">
        <f>$B$16*B25/1000000</f>
        <v>0.776205171474938</v>
      </c>
      <c r="G25" s="37">
        <f>F25*2</f>
        <v>1.552410342949876</v>
      </c>
      <c r="H25" s="37">
        <f>$B$5*B25/1000000</f>
        <v>0.152666793284108</v>
      </c>
      <c r="I25" s="37">
        <f>C25-F25</f>
        <v>0.1406894219140432</v>
      </c>
      <c r="J25" s="37">
        <f>I25*2</f>
        <v>0.2813788438280864</v>
      </c>
      <c r="K25" s="37">
        <f>$G$5*B25/1000000</f>
        <v>0.16339279749610625</v>
      </c>
    </row>
    <row r="26" spans="1:11" ht="12.75">
      <c r="A26" s="21" t="s">
        <v>11</v>
      </c>
      <c r="B26" s="35">
        <f>Segment_Morphometry!H46</f>
        <v>2357939.973246106</v>
      </c>
      <c r="C26" s="38">
        <f>$B$19*B26/1000000</f>
        <v>3.071844027185936</v>
      </c>
      <c r="D26" s="37">
        <f>B26*$B$19</f>
        <v>3071844.027185936</v>
      </c>
      <c r="E26" s="37">
        <f>D26*1000</f>
        <v>3071844027.185936</v>
      </c>
      <c r="F26" s="38">
        <f>$B$16*B26/1000000</f>
        <v>2.6004965424139863</v>
      </c>
      <c r="G26" s="38">
        <f>F26*2</f>
        <v>5.200993084827973</v>
      </c>
      <c r="H26" s="47">
        <f>$B$5*B26/1000000</f>
        <v>0.5114749072366523</v>
      </c>
      <c r="I26" s="37">
        <f>C26-F26</f>
        <v>0.4713474847719499</v>
      </c>
      <c r="J26" s="38">
        <f>I26*2</f>
        <v>0.9426949695438998</v>
      </c>
      <c r="K26" s="37">
        <f>$G$5*B26/1000000</f>
        <v>0.5474099124289229</v>
      </c>
    </row>
    <row r="27" spans="1:11" ht="12.75">
      <c r="A27" s="16" t="s">
        <v>12</v>
      </c>
      <c r="B27" s="26">
        <f>Segment_Morphometry!H47</f>
        <v>2590892.7295332095</v>
      </c>
      <c r="C27" s="37">
        <f>$B$19*B27/1000000</f>
        <v>3.3753269576830607</v>
      </c>
      <c r="D27" s="37">
        <f>B27*$B$19</f>
        <v>3375326.957683061</v>
      </c>
      <c r="E27" s="37">
        <f>D27*1000</f>
        <v>3375326957.6830606</v>
      </c>
      <c r="F27" s="37">
        <f>$B$16*B27/1000000</f>
        <v>2.8574126828348314</v>
      </c>
      <c r="G27" s="37">
        <f>F27*2</f>
        <v>5.714825365669663</v>
      </c>
      <c r="H27" s="37">
        <f>$B$5*B27/1000000</f>
        <v>0.5620060873194258</v>
      </c>
      <c r="I27" s="37">
        <f>C27-F27</f>
        <v>0.5179142748482293</v>
      </c>
      <c r="J27" s="37">
        <f>I27*2</f>
        <v>1.0358285496964585</v>
      </c>
      <c r="K27" s="37">
        <f>$G$5*B27/1000000</f>
        <v>0.6014912925175118</v>
      </c>
    </row>
    <row r="28" spans="1:11" ht="12.75">
      <c r="A28" s="21" t="s">
        <v>13</v>
      </c>
      <c r="B28" s="35">
        <f>Segment_Morphometry!H48</f>
        <v>7592242.889083853</v>
      </c>
      <c r="C28" s="38">
        <f>$B$19*B28/1000000</f>
        <v>9.890915899640214</v>
      </c>
      <c r="D28" s="37">
        <f>B28*$B$19</f>
        <v>9890915.899640214</v>
      </c>
      <c r="E28" s="37">
        <f>D28*1000</f>
        <v>9890915899.640213</v>
      </c>
      <c r="F28" s="38">
        <f>$B$16*B28/1000000</f>
        <v>8.37324173059813</v>
      </c>
      <c r="G28" s="38">
        <f>F28*2</f>
        <v>16.74648346119626</v>
      </c>
      <c r="H28" s="47">
        <f>$B$5*B28/1000000</f>
        <v>1.6468789585285133</v>
      </c>
      <c r="I28" s="37">
        <f>C28-F28</f>
        <v>1.5176741690420847</v>
      </c>
      <c r="J28" s="38">
        <f>I28*2</f>
        <v>3.0353483380841695</v>
      </c>
      <c r="K28" s="37">
        <f>$G$5*B28/1000000</f>
        <v>1.762584740158151</v>
      </c>
    </row>
    <row r="29" spans="1:11" ht="12.75">
      <c r="A29" s="16" t="s">
        <v>14</v>
      </c>
      <c r="B29" s="26">
        <f>Segment_Morphometry!H49</f>
        <v>857118.1459925376</v>
      </c>
      <c r="C29" s="37">
        <f>$B$19*B29/1000000</f>
        <v>1.1166243785821142</v>
      </c>
      <c r="D29" s="37">
        <f>B29*$B$19</f>
        <v>1116624.3785821141</v>
      </c>
      <c r="E29" s="37">
        <f>D29*1000</f>
        <v>1116624378.5821142</v>
      </c>
      <c r="F29" s="37">
        <f>$B$16*B29/1000000</f>
        <v>0.9452881754344978</v>
      </c>
      <c r="G29" s="37">
        <f>F29*2</f>
        <v>1.8905763508689957</v>
      </c>
      <c r="H29" s="37">
        <f>$B$5*B29/1000000</f>
        <v>0.1859226397561173</v>
      </c>
      <c r="I29" s="37">
        <f>C29-F29</f>
        <v>0.17133620314761633</v>
      </c>
      <c r="J29" s="37">
        <f>I29*2</f>
        <v>0.34267240629523266</v>
      </c>
      <c r="K29" s="37">
        <f>$G$5*B29/1000000</f>
        <v>0.19898512030104357</v>
      </c>
    </row>
    <row r="31" spans="1:6" ht="12.75">
      <c r="A31" s="12" t="s">
        <v>78</v>
      </c>
      <c r="B31" s="1"/>
      <c r="C31" s="1"/>
      <c r="D31" s="1"/>
      <c r="E31" s="1"/>
      <c r="F31" s="1"/>
    </row>
    <row r="40" spans="1:5" ht="12.75">
      <c r="A40" s="14"/>
      <c r="B40" s="14" t="s">
        <v>96</v>
      </c>
      <c r="C40" s="14"/>
      <c r="D40" s="14" t="s">
        <v>97</v>
      </c>
      <c r="E40" s="14"/>
    </row>
    <row r="41" spans="1:15" ht="12.75">
      <c r="A41" s="14"/>
      <c r="B41" s="14" t="s">
        <v>67</v>
      </c>
      <c r="C41" s="14" t="s">
        <v>95</v>
      </c>
      <c r="D41" s="14" t="s">
        <v>67</v>
      </c>
      <c r="E41" s="14" t="s">
        <v>95</v>
      </c>
      <c r="O41" t="s">
        <v>81</v>
      </c>
    </row>
    <row r="42" spans="1:15" ht="12.75">
      <c r="A42" s="14" t="s">
        <v>98</v>
      </c>
      <c r="B42" s="15">
        <v>1.47</v>
      </c>
      <c r="C42" s="48">
        <v>0.037337999999999996</v>
      </c>
      <c r="D42" s="15">
        <v>0</v>
      </c>
      <c r="E42" s="48">
        <v>0</v>
      </c>
      <c r="K42" t="s">
        <v>48</v>
      </c>
      <c r="L42">
        <v>0</v>
      </c>
      <c r="O42">
        <v>0</v>
      </c>
    </row>
    <row r="43" spans="1:15" ht="12.75">
      <c r="A43" s="14" t="s">
        <v>99</v>
      </c>
      <c r="B43" s="15">
        <v>1.54</v>
      </c>
      <c r="C43" s="48">
        <v>0.039116</v>
      </c>
      <c r="D43" s="15">
        <v>0</v>
      </c>
      <c r="E43" s="48">
        <v>0</v>
      </c>
      <c r="K43" t="s">
        <v>49</v>
      </c>
      <c r="L43">
        <v>0</v>
      </c>
      <c r="O43">
        <v>0</v>
      </c>
    </row>
    <row r="44" spans="1:15" ht="12.75">
      <c r="A44" s="14" t="s">
        <v>100</v>
      </c>
      <c r="B44" s="15">
        <v>1.61</v>
      </c>
      <c r="C44" s="48">
        <v>0.040894</v>
      </c>
      <c r="D44" s="15">
        <v>3.3</v>
      </c>
      <c r="E44" s="48">
        <v>0.08381999999999999</v>
      </c>
      <c r="K44" t="s">
        <v>50</v>
      </c>
      <c r="L44">
        <v>0</v>
      </c>
      <c r="O44">
        <v>1182029.6222730556</v>
      </c>
    </row>
    <row r="45" spans="1:15" ht="12.75">
      <c r="A45" s="14" t="s">
        <v>101</v>
      </c>
      <c r="B45" s="15">
        <v>1.53</v>
      </c>
      <c r="C45" s="48">
        <v>0.038862</v>
      </c>
      <c r="D45" s="15">
        <v>4.57</v>
      </c>
      <c r="E45" s="48">
        <v>0.116078</v>
      </c>
      <c r="K45" t="s">
        <v>51</v>
      </c>
      <c r="L45">
        <v>4.01</v>
      </c>
      <c r="O45">
        <v>1636931.931450868</v>
      </c>
    </row>
    <row r="46" spans="1:15" ht="12.75">
      <c r="A46" s="14" t="s">
        <v>102</v>
      </c>
      <c r="B46" s="15">
        <v>2.45</v>
      </c>
      <c r="C46" s="48">
        <v>0.06223</v>
      </c>
      <c r="D46" s="15">
        <v>6.57</v>
      </c>
      <c r="E46" s="48">
        <v>0.166878</v>
      </c>
      <c r="K46" t="s">
        <v>52</v>
      </c>
      <c r="L46">
        <v>5.98</v>
      </c>
      <c r="O46">
        <v>2353313.5207072655</v>
      </c>
    </row>
    <row r="47" spans="1:15" ht="12.75">
      <c r="A47" s="14" t="s">
        <v>103</v>
      </c>
      <c r="B47" s="15">
        <v>1.16</v>
      </c>
      <c r="C47" s="48">
        <v>0.029463999999999997</v>
      </c>
      <c r="D47" s="15">
        <v>8.48</v>
      </c>
      <c r="E47" s="48">
        <v>0.215392</v>
      </c>
      <c r="K47" t="s">
        <v>53</v>
      </c>
      <c r="L47">
        <v>7.05</v>
      </c>
      <c r="O47">
        <v>3037457.938447125</v>
      </c>
    </row>
    <row r="48" spans="1:15" ht="12.75">
      <c r="A48" s="14" t="s">
        <v>104</v>
      </c>
      <c r="B48" s="15">
        <v>0.91</v>
      </c>
      <c r="C48" s="48">
        <v>0.023114</v>
      </c>
      <c r="D48" s="15">
        <v>10.05</v>
      </c>
      <c r="E48" s="48">
        <v>0.25527</v>
      </c>
      <c r="K48" t="s">
        <v>54</v>
      </c>
      <c r="L48">
        <v>8.37</v>
      </c>
      <c r="O48">
        <v>3599817.4860133966</v>
      </c>
    </row>
    <row r="49" spans="1:15" ht="12.75">
      <c r="A49" s="14" t="s">
        <v>105</v>
      </c>
      <c r="B49" s="15">
        <v>0.78</v>
      </c>
      <c r="C49" s="48">
        <v>0.019812</v>
      </c>
      <c r="D49" s="15">
        <v>8.93</v>
      </c>
      <c r="E49" s="48">
        <v>0.226822</v>
      </c>
      <c r="K49" t="s">
        <v>55</v>
      </c>
      <c r="L49">
        <v>7.5</v>
      </c>
      <c r="O49">
        <v>3198643.796029814</v>
      </c>
    </row>
    <row r="50" spans="1:15" ht="12.75">
      <c r="A50" s="14" t="s">
        <v>106</v>
      </c>
      <c r="B50" s="15">
        <v>1.44</v>
      </c>
      <c r="C50" s="48">
        <v>0.036576</v>
      </c>
      <c r="D50" s="15">
        <v>5.88</v>
      </c>
      <c r="E50" s="48">
        <v>0.14935199999999998</v>
      </c>
      <c r="K50" t="s">
        <v>56</v>
      </c>
      <c r="L50">
        <v>5.02</v>
      </c>
      <c r="O50">
        <v>2106161.872413808</v>
      </c>
    </row>
    <row r="51" spans="1:15" ht="12.75">
      <c r="A51" s="14" t="s">
        <v>107</v>
      </c>
      <c r="B51" s="15">
        <v>1.8</v>
      </c>
      <c r="C51" s="48">
        <v>0.04572</v>
      </c>
      <c r="D51" s="15">
        <v>3.51</v>
      </c>
      <c r="E51" s="48">
        <v>0.089154</v>
      </c>
      <c r="K51" t="s">
        <v>57</v>
      </c>
      <c r="L51">
        <v>2.92</v>
      </c>
      <c r="O51">
        <v>1257249.6891449774</v>
      </c>
    </row>
    <row r="52" spans="1:15" ht="12.75">
      <c r="A52" s="14" t="s">
        <v>108</v>
      </c>
      <c r="B52" s="15">
        <v>1.53</v>
      </c>
      <c r="C52" s="48">
        <v>0.038862</v>
      </c>
      <c r="D52" s="15">
        <v>0</v>
      </c>
      <c r="E52" s="48">
        <v>0</v>
      </c>
      <c r="K52" t="s">
        <v>58</v>
      </c>
      <c r="L52">
        <v>0</v>
      </c>
      <c r="O52">
        <v>0</v>
      </c>
    </row>
    <row r="53" spans="1:15" ht="12.75">
      <c r="A53" s="14" t="s">
        <v>109</v>
      </c>
      <c r="B53" s="15">
        <v>1.46</v>
      </c>
      <c r="C53" s="48">
        <v>0.037084</v>
      </c>
      <c r="D53" s="15">
        <v>0</v>
      </c>
      <c r="E53" s="48">
        <v>0</v>
      </c>
      <c r="K53" t="s">
        <v>59</v>
      </c>
      <c r="L53">
        <v>0</v>
      </c>
      <c r="O53">
        <v>0</v>
      </c>
    </row>
    <row r="54" spans="1:15" ht="12.75">
      <c r="A54" s="14" t="s">
        <v>110</v>
      </c>
      <c r="B54" s="15">
        <v>17.68</v>
      </c>
      <c r="C54" s="48">
        <v>0.44907199999999997</v>
      </c>
      <c r="D54" s="15">
        <v>51.29</v>
      </c>
      <c r="E54" s="48">
        <v>1.3027659999999999</v>
      </c>
      <c r="K54" t="s">
        <v>60</v>
      </c>
      <c r="L54">
        <v>40.85</v>
      </c>
      <c r="O54">
        <v>18371605.856480308</v>
      </c>
    </row>
    <row r="55" spans="1:5" ht="12.75">
      <c r="A55" s="14" t="s">
        <v>111</v>
      </c>
      <c r="B55" s="15">
        <f>SUM(B46:B51)</f>
        <v>8.540000000000001</v>
      </c>
      <c r="C55" s="48">
        <f>SUM(C46:C51)</f>
        <v>0.216916</v>
      </c>
      <c r="D55" s="15">
        <f>SUM(D46:D51)</f>
        <v>43.42</v>
      </c>
      <c r="E55" s="48">
        <f>SUM(E46:E51)</f>
        <v>1.102868</v>
      </c>
    </row>
    <row r="56" spans="1:5" ht="12.75">
      <c r="A56" s="14" t="s">
        <v>112</v>
      </c>
      <c r="B56" s="15">
        <f>SUM(B42:B45,B52:B53)</f>
        <v>9.14</v>
      </c>
      <c r="C56" s="48">
        <f>SUM(C42:C45,C52:C53)</f>
        <v>0.232156</v>
      </c>
      <c r="D56" s="15">
        <f>SUM(D42:D45,D52:D53)</f>
        <v>7.87</v>
      </c>
      <c r="E56" s="48">
        <f>SUM(E42:E45,E52:E53)</f>
        <v>0.199898</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Q41"/>
  <sheetViews>
    <sheetView zoomScalePageLayoutView="0" workbookViewId="0" topLeftCell="A1">
      <selection activeCell="C21" sqref="C21"/>
    </sheetView>
  </sheetViews>
  <sheetFormatPr defaultColWidth="9.140625" defaultRowHeight="12.75"/>
  <sheetData>
    <row r="1" ht="15">
      <c r="A1" s="28" t="s">
        <v>113</v>
      </c>
    </row>
    <row r="2" ht="15">
      <c r="A2" s="28" t="s">
        <v>114</v>
      </c>
    </row>
    <row r="3" ht="15">
      <c r="A3" s="28" t="s">
        <v>115</v>
      </c>
    </row>
    <row r="4" ht="15">
      <c r="A4" s="28" t="s">
        <v>116</v>
      </c>
    </row>
    <row r="5" spans="1:17" ht="15">
      <c r="A5" s="28"/>
      <c r="E5" t="s">
        <v>117</v>
      </c>
      <c r="F5" t="s">
        <v>118</v>
      </c>
      <c r="G5" t="s">
        <v>119</v>
      </c>
      <c r="H5" t="s">
        <v>120</v>
      </c>
      <c r="I5" t="s">
        <v>102</v>
      </c>
      <c r="J5" t="s">
        <v>121</v>
      </c>
      <c r="K5" t="s">
        <v>122</v>
      </c>
      <c r="L5" t="s">
        <v>123</v>
      </c>
      <c r="M5" t="s">
        <v>124</v>
      </c>
      <c r="N5" t="s">
        <v>125</v>
      </c>
      <c r="O5" t="s">
        <v>126</v>
      </c>
      <c r="P5" t="s">
        <v>127</v>
      </c>
      <c r="Q5" t="s">
        <v>44</v>
      </c>
    </row>
    <row r="6" ht="15">
      <c r="A6" s="28" t="s">
        <v>116</v>
      </c>
    </row>
    <row r="7" spans="1:2" ht="15">
      <c r="A7" s="28"/>
      <c r="B7" t="s">
        <v>128</v>
      </c>
    </row>
    <row r="8" spans="1:16" ht="15">
      <c r="A8" s="28"/>
      <c r="B8" t="s">
        <v>129</v>
      </c>
      <c r="C8" t="s">
        <v>130</v>
      </c>
      <c r="D8" t="s">
        <v>131</v>
      </c>
      <c r="E8">
        <v>2</v>
      </c>
      <c r="F8">
        <v>2</v>
      </c>
      <c r="G8">
        <v>2</v>
      </c>
      <c r="H8">
        <v>1.75</v>
      </c>
      <c r="I8">
        <v>1.41</v>
      </c>
      <c r="J8">
        <v>1.16</v>
      </c>
      <c r="K8">
        <v>0.92</v>
      </c>
      <c r="L8">
        <v>0.98</v>
      </c>
      <c r="M8">
        <v>1.1</v>
      </c>
      <c r="N8">
        <v>1.32</v>
      </c>
      <c r="O8">
        <v>2</v>
      </c>
      <c r="P8">
        <v>2</v>
      </c>
    </row>
    <row r="9" spans="1:17" ht="15">
      <c r="A9" s="28"/>
      <c r="B9" t="s">
        <v>129</v>
      </c>
      <c r="C9" t="s">
        <v>130</v>
      </c>
      <c r="D9" t="s">
        <v>9</v>
      </c>
      <c r="E9">
        <v>0.83</v>
      </c>
      <c r="F9">
        <v>1.07</v>
      </c>
      <c r="G9">
        <v>2.06</v>
      </c>
      <c r="H9">
        <v>3.45</v>
      </c>
      <c r="I9">
        <v>5.02</v>
      </c>
      <c r="J9">
        <v>5.96</v>
      </c>
      <c r="K9">
        <v>6.38</v>
      </c>
      <c r="L9">
        <v>5.95</v>
      </c>
      <c r="M9">
        <v>4.04</v>
      </c>
      <c r="N9">
        <v>2.58</v>
      </c>
      <c r="O9">
        <v>1.5</v>
      </c>
      <c r="P9">
        <v>0.93</v>
      </c>
      <c r="Q9">
        <v>39.78</v>
      </c>
    </row>
    <row r="10" spans="1:17" ht="15">
      <c r="A10" s="28"/>
      <c r="B10" t="s">
        <v>132</v>
      </c>
      <c r="C10" t="s">
        <v>133</v>
      </c>
      <c r="D10" t="s">
        <v>9</v>
      </c>
      <c r="E10">
        <v>0.23</v>
      </c>
      <c r="F10">
        <v>0.3</v>
      </c>
      <c r="G10">
        <v>0.56</v>
      </c>
      <c r="H10">
        <v>0.62</v>
      </c>
      <c r="I10">
        <v>0.67</v>
      </c>
      <c r="J10">
        <v>0.61</v>
      </c>
      <c r="K10">
        <v>0.32</v>
      </c>
      <c r="L10">
        <v>0.55</v>
      </c>
      <c r="M10">
        <v>0.54</v>
      </c>
      <c r="N10">
        <v>0.43</v>
      </c>
      <c r="O10">
        <v>0.22</v>
      </c>
      <c r="P10">
        <v>0.18</v>
      </c>
      <c r="Q10">
        <v>2</v>
      </c>
    </row>
    <row r="11" spans="1:14" ht="15">
      <c r="A11" s="28"/>
      <c r="B11" t="s">
        <v>134</v>
      </c>
      <c r="C11" t="s">
        <v>135</v>
      </c>
      <c r="D11" t="s">
        <v>136</v>
      </c>
      <c r="E11">
        <v>0.47</v>
      </c>
      <c r="F11">
        <v>1.65</v>
      </c>
      <c r="G11">
        <v>3.29</v>
      </c>
      <c r="H11">
        <v>4.48</v>
      </c>
      <c r="I11">
        <v>5.63</v>
      </c>
      <c r="J11">
        <v>5.02</v>
      </c>
      <c r="K11">
        <v>2.45</v>
      </c>
      <c r="L11">
        <v>0.95</v>
      </c>
      <c r="M11">
        <v>0.06</v>
      </c>
      <c r="N11">
        <v>24</v>
      </c>
    </row>
    <row r="12" ht="15">
      <c r="A12" s="28"/>
    </row>
    <row r="13" spans="1:3" ht="15">
      <c r="A13" s="28"/>
      <c r="B13" t="s">
        <v>137</v>
      </c>
      <c r="C13" t="s">
        <v>138</v>
      </c>
    </row>
    <row r="14" spans="1:16" ht="15">
      <c r="A14" s="28"/>
      <c r="B14" t="s">
        <v>129</v>
      </c>
      <c r="C14" t="s">
        <v>130</v>
      </c>
      <c r="D14" t="s">
        <v>131</v>
      </c>
      <c r="E14">
        <v>2.72</v>
      </c>
      <c r="F14">
        <v>3.49</v>
      </c>
      <c r="G14">
        <v>2.63</v>
      </c>
      <c r="H14">
        <v>1.94</v>
      </c>
      <c r="I14">
        <v>1.71</v>
      </c>
      <c r="J14">
        <v>1.53</v>
      </c>
      <c r="K14">
        <v>1.23</v>
      </c>
      <c r="L14">
        <v>1.22</v>
      </c>
      <c r="M14">
        <v>1.27</v>
      </c>
      <c r="N14">
        <v>1.48</v>
      </c>
      <c r="O14">
        <v>2.37</v>
      </c>
      <c r="P14">
        <v>2.24</v>
      </c>
    </row>
    <row r="15" spans="1:16" ht="15">
      <c r="A15" s="28"/>
      <c r="B15" t="s">
        <v>139</v>
      </c>
      <c r="C15" t="s">
        <v>140</v>
      </c>
      <c r="D15">
        <v>1.13</v>
      </c>
      <c r="E15">
        <v>1.87</v>
      </c>
      <c r="F15">
        <v>2.71</v>
      </c>
      <c r="G15">
        <v>3.84</v>
      </c>
      <c r="H15">
        <v>6.1</v>
      </c>
      <c r="I15">
        <v>7.84</v>
      </c>
      <c r="J15">
        <v>8.57</v>
      </c>
      <c r="K15">
        <v>7.45</v>
      </c>
      <c r="L15">
        <v>4.65</v>
      </c>
      <c r="M15">
        <v>2.91</v>
      </c>
      <c r="N15">
        <v>1.78</v>
      </c>
      <c r="O15">
        <v>1.04</v>
      </c>
      <c r="P15">
        <v>49.9</v>
      </c>
    </row>
    <row r="16" spans="1:17" ht="15">
      <c r="A16" s="28"/>
      <c r="B16" t="s">
        <v>132</v>
      </c>
      <c r="C16" t="s">
        <v>133</v>
      </c>
      <c r="D16" t="s">
        <v>141</v>
      </c>
      <c r="E16">
        <v>0.31</v>
      </c>
      <c r="F16">
        <v>0.53</v>
      </c>
      <c r="G16">
        <v>0.73</v>
      </c>
      <c r="H16">
        <v>0.69</v>
      </c>
      <c r="I16">
        <v>0.82</v>
      </c>
      <c r="J16">
        <v>0.8</v>
      </c>
      <c r="K16">
        <v>0.43</v>
      </c>
      <c r="L16">
        <v>0.69</v>
      </c>
      <c r="M16">
        <v>0.62</v>
      </c>
      <c r="N16">
        <v>0.49</v>
      </c>
      <c r="O16">
        <v>0.26</v>
      </c>
      <c r="P16">
        <v>0.2</v>
      </c>
      <c r="Q16">
        <v>2.53</v>
      </c>
    </row>
    <row r="17" ht="15">
      <c r="A17" s="28" t="s">
        <v>116</v>
      </c>
    </row>
    <row r="20" spans="4:8" ht="12.75">
      <c r="D20" t="s">
        <v>128</v>
      </c>
      <c r="E20" t="s">
        <v>129</v>
      </c>
      <c r="F20" t="s">
        <v>129</v>
      </c>
      <c r="G20" t="s">
        <v>132</v>
      </c>
      <c r="H20" t="s">
        <v>134</v>
      </c>
    </row>
    <row r="21" spans="5:8" ht="12.75">
      <c r="E21" t="s">
        <v>130</v>
      </c>
      <c r="F21" t="s">
        <v>130</v>
      </c>
      <c r="G21" t="s">
        <v>133</v>
      </c>
      <c r="H21" t="s">
        <v>135</v>
      </c>
    </row>
    <row r="22" spans="5:8" ht="12.75">
      <c r="E22" t="s">
        <v>131</v>
      </c>
      <c r="F22" t="s">
        <v>9</v>
      </c>
      <c r="G22" t="s">
        <v>9</v>
      </c>
      <c r="H22" t="s">
        <v>136</v>
      </c>
    </row>
    <row r="23" spans="2:10" ht="12.75">
      <c r="B23" t="s">
        <v>117</v>
      </c>
      <c r="E23">
        <v>2</v>
      </c>
      <c r="F23">
        <v>0.83</v>
      </c>
      <c r="G23">
        <v>0.23</v>
      </c>
      <c r="H23">
        <v>0.47</v>
      </c>
      <c r="J23" s="51">
        <f>0.0254*F23</f>
        <v>0.021081999999999997</v>
      </c>
    </row>
    <row r="24" spans="2:10" ht="12.75">
      <c r="B24" t="s">
        <v>118</v>
      </c>
      <c r="E24">
        <v>2</v>
      </c>
      <c r="F24">
        <v>1.07</v>
      </c>
      <c r="G24">
        <v>0.3</v>
      </c>
      <c r="H24">
        <v>1.65</v>
      </c>
      <c r="J24" s="51">
        <f aca="true" t="shared" si="0" ref="J24:J38">0.0254*F24</f>
        <v>0.027178</v>
      </c>
    </row>
    <row r="25" spans="2:10" ht="12.75">
      <c r="B25" t="s">
        <v>119</v>
      </c>
      <c r="E25">
        <v>2</v>
      </c>
      <c r="F25">
        <v>2.06</v>
      </c>
      <c r="G25">
        <v>0.56</v>
      </c>
      <c r="H25">
        <v>3.29</v>
      </c>
      <c r="J25" s="51">
        <f t="shared" si="0"/>
        <v>0.052324</v>
      </c>
    </row>
    <row r="26" spans="2:10" ht="12.75">
      <c r="B26" t="s">
        <v>120</v>
      </c>
      <c r="E26">
        <v>1.75</v>
      </c>
      <c r="F26">
        <v>3.45</v>
      </c>
      <c r="G26">
        <v>0.62</v>
      </c>
      <c r="H26">
        <v>4.48</v>
      </c>
      <c r="J26" s="51">
        <f t="shared" si="0"/>
        <v>0.08763</v>
      </c>
    </row>
    <row r="27" spans="2:10" ht="12.75">
      <c r="B27" t="s">
        <v>102</v>
      </c>
      <c r="E27">
        <v>1.41</v>
      </c>
      <c r="F27">
        <v>5.02</v>
      </c>
      <c r="G27">
        <v>0.67</v>
      </c>
      <c r="H27">
        <v>5.63</v>
      </c>
      <c r="J27" s="51">
        <f t="shared" si="0"/>
        <v>0.12750799999999998</v>
      </c>
    </row>
    <row r="28" spans="2:10" ht="12.75">
      <c r="B28" t="s">
        <v>121</v>
      </c>
      <c r="E28">
        <v>1.16</v>
      </c>
      <c r="F28">
        <v>5.96</v>
      </c>
      <c r="G28">
        <v>0.61</v>
      </c>
      <c r="H28">
        <v>5.02</v>
      </c>
      <c r="J28" s="51">
        <f t="shared" si="0"/>
        <v>0.151384</v>
      </c>
    </row>
    <row r="29" spans="2:10" ht="12.75">
      <c r="B29" t="s">
        <v>122</v>
      </c>
      <c r="E29">
        <v>0.92</v>
      </c>
      <c r="F29">
        <v>6.38</v>
      </c>
      <c r="G29">
        <v>0.32</v>
      </c>
      <c r="H29">
        <v>2.45</v>
      </c>
      <c r="J29" s="51">
        <f t="shared" si="0"/>
        <v>0.162052</v>
      </c>
    </row>
    <row r="30" spans="2:10" ht="12.75">
      <c r="B30" t="s">
        <v>123</v>
      </c>
      <c r="E30">
        <v>0.98</v>
      </c>
      <c r="F30">
        <v>5.95</v>
      </c>
      <c r="G30">
        <v>0.55</v>
      </c>
      <c r="H30">
        <v>0.95</v>
      </c>
      <c r="J30" s="51">
        <f t="shared" si="0"/>
        <v>0.15113</v>
      </c>
    </row>
    <row r="31" spans="2:10" ht="12.75">
      <c r="B31" t="s">
        <v>124</v>
      </c>
      <c r="E31">
        <v>1.1</v>
      </c>
      <c r="F31">
        <v>4.04</v>
      </c>
      <c r="G31">
        <v>0.54</v>
      </c>
      <c r="H31">
        <v>0.06</v>
      </c>
      <c r="J31" s="51">
        <f t="shared" si="0"/>
        <v>0.102616</v>
      </c>
    </row>
    <row r="32" spans="2:10" ht="12.75">
      <c r="B32" t="s">
        <v>125</v>
      </c>
      <c r="E32">
        <v>1.32</v>
      </c>
      <c r="F32">
        <v>2.58</v>
      </c>
      <c r="G32">
        <v>0.43</v>
      </c>
      <c r="H32">
        <v>24</v>
      </c>
      <c r="J32" s="51">
        <f t="shared" si="0"/>
        <v>0.06553199999999999</v>
      </c>
    </row>
    <row r="33" spans="2:10" ht="12.75">
      <c r="B33" t="s">
        <v>126</v>
      </c>
      <c r="E33">
        <v>2</v>
      </c>
      <c r="F33">
        <v>1.5</v>
      </c>
      <c r="G33">
        <v>0.22</v>
      </c>
      <c r="J33" s="51">
        <f t="shared" si="0"/>
        <v>0.038099999999999995</v>
      </c>
    </row>
    <row r="34" spans="2:10" ht="12.75">
      <c r="B34" t="s">
        <v>127</v>
      </c>
      <c r="E34">
        <v>2</v>
      </c>
      <c r="F34">
        <v>0.93</v>
      </c>
      <c r="G34">
        <v>0.18</v>
      </c>
      <c r="J34" s="51">
        <f t="shared" si="0"/>
        <v>0.023622</v>
      </c>
    </row>
    <row r="35" spans="2:10" ht="12.75">
      <c r="B35" t="s">
        <v>44</v>
      </c>
      <c r="F35">
        <v>39.78</v>
      </c>
      <c r="G35">
        <v>2</v>
      </c>
      <c r="J35" s="51">
        <f t="shared" si="0"/>
        <v>1.010412</v>
      </c>
    </row>
    <row r="36" ht="12.75">
      <c r="J36">
        <f t="shared" si="0"/>
        <v>0</v>
      </c>
    </row>
    <row r="37" spans="4:10" ht="12.75">
      <c r="D37" t="s">
        <v>142</v>
      </c>
      <c r="E37">
        <f>SUM(E27:E32)</f>
        <v>6.890000000000001</v>
      </c>
      <c r="F37">
        <f>SUM(F27:F32)</f>
        <v>29.93</v>
      </c>
      <c r="G37">
        <f>SUM(G27:G32)</f>
        <v>3.1200000000000006</v>
      </c>
      <c r="H37">
        <f>SUM(H27:H32)</f>
        <v>38.11</v>
      </c>
      <c r="J37" s="51">
        <f t="shared" si="0"/>
        <v>0.760222</v>
      </c>
    </row>
    <row r="38" spans="4:10" ht="12.75">
      <c r="D38" t="s">
        <v>143</v>
      </c>
      <c r="E38">
        <f>SUM(E23:E26,E33:E34)</f>
        <v>11.75</v>
      </c>
      <c r="F38">
        <f>SUM(F23:F26,F33:F34)</f>
        <v>9.84</v>
      </c>
      <c r="G38">
        <f>SUM(G23:G26,G33:G34)</f>
        <v>2.11</v>
      </c>
      <c r="H38">
        <f>SUM(H23:H26,H33:H34)</f>
        <v>9.89</v>
      </c>
      <c r="J38" s="51">
        <f t="shared" si="0"/>
        <v>0.249936</v>
      </c>
    </row>
    <row r="40" spans="5:8" ht="12.75">
      <c r="E40">
        <f aca="true" t="shared" si="1" ref="E40:H41">E37*0.0254</f>
        <v>0.175006</v>
      </c>
      <c r="F40">
        <f t="shared" si="1"/>
        <v>0.760222</v>
      </c>
      <c r="G40">
        <f t="shared" si="1"/>
        <v>0.07924800000000001</v>
      </c>
      <c r="H40">
        <f t="shared" si="1"/>
        <v>0.9679939999999999</v>
      </c>
    </row>
    <row r="41" spans="5:8" ht="12.75">
      <c r="E41">
        <f t="shared" si="1"/>
        <v>0.29845</v>
      </c>
      <c r="F41">
        <f t="shared" si="1"/>
        <v>0.249936</v>
      </c>
      <c r="G41">
        <f t="shared" si="1"/>
        <v>0.053593999999999996</v>
      </c>
      <c r="H41">
        <f t="shared" si="1"/>
        <v>0.251206</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SWCA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egaddis</dc:creator>
  <cp:keywords/>
  <dc:description/>
  <cp:lastModifiedBy>egaddis</cp:lastModifiedBy>
  <cp:lastPrinted>2007-07-19T22:21:20Z</cp:lastPrinted>
  <dcterms:created xsi:type="dcterms:W3CDTF">2007-05-07T21:58:02Z</dcterms:created>
  <dcterms:modified xsi:type="dcterms:W3CDTF">2009-10-16T22:28:31Z</dcterms:modified>
  <cp:category/>
  <cp:version/>
  <cp:contentType/>
  <cp:contentStatus/>
</cp:coreProperties>
</file>